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uro Trials UK 22\"/>
    </mc:Choice>
  </mc:AlternateContent>
  <xr:revisionPtr revIDLastSave="0" documentId="13_ncr:1_{83464ED4-3FE7-43B2-9979-09F798298163}" xr6:coauthVersionLast="47" xr6:coauthVersionMax="47" xr10:uidLastSave="{00000000-0000-0000-0000-000000000000}"/>
  <bookViews>
    <workbookView xWindow="-108" yWindow="-108" windowWidth="23256" windowHeight="12456" activeTab="15" xr2:uid="{00000000-000D-0000-FFFF-FFFF00000000}"/>
  </bookViews>
  <sheets>
    <sheet name="EC - European Championship" sheetId="2" r:id="rId1"/>
    <sheet name="EC - Points per FMN" sheetId="3" state="hidden" r:id="rId2"/>
    <sheet name="JUNIOR CUP" sheetId="29" r:id="rId3"/>
    <sheet name="JUNIOR Points pr FMN" sheetId="30" state="hidden" r:id="rId4"/>
    <sheet name="Over 40 CUP" sheetId="33" r:id="rId5"/>
    <sheet name="Over 40 Points pr FMN" sheetId="34" state="hidden" r:id="rId6"/>
    <sheet name="EC International" sheetId="39" r:id="rId7"/>
    <sheet name="EC Inter I Points pr FMN" sheetId="40" state="hidden" r:id="rId8"/>
    <sheet name="EC Inter II Points pr FMN" sheetId="46" state="hidden" r:id="rId9"/>
    <sheet name="Women's Championship" sheetId="35" r:id="rId10"/>
    <sheet name="Women Points pr FMN" sheetId="36" state="hidden" r:id="rId11"/>
    <sheet name="Women International" sheetId="41" r:id="rId12"/>
    <sheet name="Women Inter Points pr FMN" sheetId="42" state="hidden" r:id="rId13"/>
    <sheet name="Youth Championship" sheetId="37" r:id="rId14"/>
    <sheet name="Youth Points pr FMN" sheetId="38" state="hidden" r:id="rId15"/>
    <sheet name="Youth International" sheetId="43" r:id="rId16"/>
    <sheet name="Youth Inter Points pr FMN" sheetId="44" state="hidden" r:id="rId17"/>
    <sheet name="FMNs - Participants pr FMN" sheetId="26" state="hidden" r:id="rId18"/>
    <sheet name="FMN ranking - factor 3,2,1" sheetId="28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9" i="37" l="1"/>
  <c r="J15" i="41"/>
  <c r="B23" i="42" s="1"/>
  <c r="G20" i="28" s="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J31" i="41"/>
  <c r="J32" i="41"/>
  <c r="J33" i="41"/>
  <c r="J34" i="41"/>
  <c r="J35" i="41"/>
  <c r="J36" i="41"/>
  <c r="J37" i="41"/>
  <c r="J38" i="41"/>
  <c r="J39" i="41"/>
  <c r="J40" i="41"/>
  <c r="J41" i="41"/>
  <c r="J42" i="41"/>
  <c r="J43" i="41"/>
  <c r="J44" i="41"/>
  <c r="J45" i="41"/>
  <c r="J46" i="41"/>
  <c r="J47" i="41"/>
  <c r="J48" i="41"/>
  <c r="J49" i="41"/>
  <c r="J50" i="41"/>
  <c r="J38" i="43"/>
  <c r="J39" i="43"/>
  <c r="J40" i="43"/>
  <c r="J41" i="43"/>
  <c r="J42" i="43"/>
  <c r="J43" i="43"/>
  <c r="J44" i="43"/>
  <c r="J45" i="43"/>
  <c r="J46" i="43"/>
  <c r="J47" i="43"/>
  <c r="J48" i="43"/>
  <c r="J49" i="43"/>
  <c r="J50" i="43"/>
  <c r="J51" i="43"/>
  <c r="J52" i="43"/>
  <c r="J53" i="43"/>
  <c r="J54" i="43"/>
  <c r="B12" i="44"/>
  <c r="I29" i="28" s="1"/>
  <c r="B34" i="44"/>
  <c r="I42" i="28" s="1"/>
  <c r="J16" i="43"/>
  <c r="J34" i="43"/>
  <c r="J14" i="43"/>
  <c r="J32" i="43"/>
  <c r="J17" i="43"/>
  <c r="B38" i="44"/>
  <c r="I14" i="28" s="1"/>
  <c r="B12" i="38"/>
  <c r="H29" i="28" s="1"/>
  <c r="B34" i="38"/>
  <c r="H42" i="28" s="1"/>
  <c r="J12" i="37"/>
  <c r="B20" i="38" s="1"/>
  <c r="H4" i="28" s="1"/>
  <c r="B12" i="42"/>
  <c r="G29" i="28" s="1"/>
  <c r="B34" i="42"/>
  <c r="B38" i="42"/>
  <c r="G14" i="28" s="1"/>
  <c r="B38" i="36"/>
  <c r="F14" i="28" s="1"/>
  <c r="B12" i="36"/>
  <c r="F29" i="28" s="1"/>
  <c r="B34" i="36"/>
  <c r="F42" i="28" s="1"/>
  <c r="B38" i="46"/>
  <c r="B39" i="46"/>
  <c r="B38" i="40"/>
  <c r="E14" i="28" s="1"/>
  <c r="B12" i="34"/>
  <c r="D29" i="28" s="1"/>
  <c r="B34" i="34"/>
  <c r="B38" i="34"/>
  <c r="D14" i="28" s="1"/>
  <c r="B12" i="30"/>
  <c r="C29" i="28" s="1"/>
  <c r="B34" i="30"/>
  <c r="C42" i="28" s="1"/>
  <c r="J9" i="29"/>
  <c r="B38" i="30"/>
  <c r="C14" i="28" s="1"/>
  <c r="J39" i="29"/>
  <c r="J4" i="2"/>
  <c r="B38" i="3" s="1"/>
  <c r="B14" i="28" s="1"/>
  <c r="B31" i="3"/>
  <c r="B40" i="28" s="1"/>
  <c r="B16" i="46"/>
  <c r="J7" i="39"/>
  <c r="B43" i="40"/>
  <c r="E11" i="28" s="1"/>
  <c r="J4" i="39"/>
  <c r="J5" i="39"/>
  <c r="J6" i="39"/>
  <c r="B42" i="40"/>
  <c r="E19" i="28" s="1"/>
  <c r="B41" i="40"/>
  <c r="E16" i="28" s="1"/>
  <c r="J9" i="39"/>
  <c r="J12" i="39"/>
  <c r="J8" i="39"/>
  <c r="J10" i="39"/>
  <c r="B40" i="40"/>
  <c r="E5" i="28" s="1"/>
  <c r="B39" i="40"/>
  <c r="E12" i="28" s="1"/>
  <c r="J13" i="39"/>
  <c r="B37" i="40"/>
  <c r="E9" i="28" s="1"/>
  <c r="B34" i="40"/>
  <c r="E42" i="28" s="1"/>
  <c r="B33" i="40"/>
  <c r="E41" i="28" s="1"/>
  <c r="B36" i="40"/>
  <c r="E44" i="28" s="1"/>
  <c r="B35" i="40"/>
  <c r="E43" i="28" s="1"/>
  <c r="B32" i="40"/>
  <c r="E21" i="28" s="1"/>
  <c r="B31" i="40"/>
  <c r="E40" i="28" s="1"/>
  <c r="B30" i="40"/>
  <c r="E39" i="28" s="1"/>
  <c r="B29" i="40"/>
  <c r="E38" i="28" s="1"/>
  <c r="B28" i="40"/>
  <c r="E37" i="28" s="1"/>
  <c r="B27" i="40"/>
  <c r="E22" i="28" s="1"/>
  <c r="J16" i="39"/>
  <c r="J11" i="39"/>
  <c r="B26" i="40" s="1"/>
  <c r="E13" i="28" s="1"/>
  <c r="B25" i="40"/>
  <c r="E36" i="28" s="1"/>
  <c r="B24" i="40"/>
  <c r="E35" i="28" s="1"/>
  <c r="B23" i="40"/>
  <c r="E20" i="28" s="1"/>
  <c r="B22" i="40"/>
  <c r="E34" i="28" s="1"/>
  <c r="B21" i="40"/>
  <c r="E33" i="28" s="1"/>
  <c r="B20" i="40"/>
  <c r="E4" i="28" s="1"/>
  <c r="J15" i="39"/>
  <c r="B19" i="40"/>
  <c r="E10" i="28" s="1"/>
  <c r="B18" i="40"/>
  <c r="E32" i="28" s="1"/>
  <c r="B17" i="40"/>
  <c r="E7" i="28" s="1"/>
  <c r="J14" i="39"/>
  <c r="B16" i="40" s="1"/>
  <c r="E31" i="28" s="1"/>
  <c r="B12" i="40"/>
  <c r="E29" i="28" s="1"/>
  <c r="B11" i="40"/>
  <c r="E28" i="28" s="1"/>
  <c r="B13" i="40"/>
  <c r="E30" i="28" s="1"/>
  <c r="B14" i="40"/>
  <c r="E6" i="28" s="1"/>
  <c r="B10" i="40"/>
  <c r="E27" i="28" s="1"/>
  <c r="B9" i="40"/>
  <c r="E26" i="28" s="1"/>
  <c r="B8" i="40"/>
  <c r="E25" i="28" s="1"/>
  <c r="B5" i="40"/>
  <c r="E18" i="28" s="1"/>
  <c r="B7" i="40"/>
  <c r="E24" i="28" s="1"/>
  <c r="B6" i="40"/>
  <c r="E23" i="28" s="1"/>
  <c r="B3" i="40"/>
  <c r="E15" i="28" s="1"/>
  <c r="J51" i="39"/>
  <c r="J52" i="39"/>
  <c r="J53" i="39"/>
  <c r="J54" i="39"/>
  <c r="J55" i="39"/>
  <c r="J56" i="39"/>
  <c r="J57" i="39"/>
  <c r="J58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17" i="39"/>
  <c r="J18" i="39"/>
  <c r="J19" i="39"/>
  <c r="J20" i="39"/>
  <c r="J21" i="39"/>
  <c r="B15" i="40" s="1"/>
  <c r="E17" i="28" s="1"/>
  <c r="J22" i="39"/>
  <c r="J23" i="39"/>
  <c r="J24" i="39"/>
  <c r="J25" i="39"/>
  <c r="J26" i="39"/>
  <c r="J27" i="39"/>
  <c r="J28" i="39"/>
  <c r="J29" i="39"/>
  <c r="J30" i="39"/>
  <c r="J31" i="39"/>
  <c r="J32" i="39"/>
  <c r="J33" i="39"/>
  <c r="J26" i="37"/>
  <c r="J13" i="37"/>
  <c r="J29" i="37"/>
  <c r="J30" i="37"/>
  <c r="J31" i="37"/>
  <c r="J24" i="37"/>
  <c r="J24" i="33"/>
  <c r="J25" i="33"/>
  <c r="J26" i="33"/>
  <c r="J27" i="33"/>
  <c r="J28" i="33"/>
  <c r="J29" i="33"/>
  <c r="J35" i="29"/>
  <c r="J37" i="29"/>
  <c r="J24" i="29"/>
  <c r="J38" i="29"/>
  <c r="J42" i="29"/>
  <c r="J31" i="29"/>
  <c r="J17" i="2"/>
  <c r="J34" i="2"/>
  <c r="J13" i="2"/>
  <c r="J37" i="2"/>
  <c r="J15" i="2"/>
  <c r="J13" i="43"/>
  <c r="J25" i="43"/>
  <c r="J7" i="37"/>
  <c r="B14" i="38" s="1"/>
  <c r="H6" i="28" s="1"/>
  <c r="B27" i="38"/>
  <c r="H22" i="28" s="1"/>
  <c r="J7" i="41"/>
  <c r="B40" i="42" s="1"/>
  <c r="G5" i="28" s="1"/>
  <c r="J6" i="41"/>
  <c r="J5" i="35"/>
  <c r="B27" i="36"/>
  <c r="F22" i="28" s="1"/>
  <c r="J7" i="33"/>
  <c r="B27" i="34"/>
  <c r="D22" i="28" s="1"/>
  <c r="J11" i="29"/>
  <c r="J8" i="29"/>
  <c r="B27" i="30"/>
  <c r="C22" i="28" s="1"/>
  <c r="J5" i="2"/>
  <c r="B9" i="42"/>
  <c r="G26" i="28" s="1"/>
  <c r="J36" i="29"/>
  <c r="J13" i="29"/>
  <c r="B3" i="30"/>
  <c r="C15" i="28" s="1"/>
  <c r="J25" i="29"/>
  <c r="B5" i="30"/>
  <c r="C18" i="28" s="1"/>
  <c r="B6" i="30"/>
  <c r="C23" i="28" s="1"/>
  <c r="B7" i="30"/>
  <c r="C24" i="28" s="1"/>
  <c r="B8" i="30"/>
  <c r="C25" i="28" s="1"/>
  <c r="B9" i="30"/>
  <c r="C26" i="28" s="1"/>
  <c r="B10" i="30"/>
  <c r="C27" i="28" s="1"/>
  <c r="B11" i="30"/>
  <c r="C28" i="28" s="1"/>
  <c r="B13" i="30"/>
  <c r="C30" i="28" s="1"/>
  <c r="J19" i="29"/>
  <c r="J15" i="29"/>
  <c r="J7" i="29"/>
  <c r="J5" i="29"/>
  <c r="J26" i="29"/>
  <c r="B17" i="30" s="1"/>
  <c r="C7" i="28" s="1"/>
  <c r="J30" i="29"/>
  <c r="B16" i="30"/>
  <c r="C31" i="28" s="1"/>
  <c r="J4" i="29"/>
  <c r="J10" i="29"/>
  <c r="J29" i="29"/>
  <c r="B37" i="30" s="1"/>
  <c r="C9" i="28" s="1"/>
  <c r="J23" i="29"/>
  <c r="B18" i="30"/>
  <c r="C32" i="28" s="1"/>
  <c r="J32" i="29"/>
  <c r="J17" i="29"/>
  <c r="J34" i="29"/>
  <c r="J20" i="29"/>
  <c r="J6" i="29"/>
  <c r="B26" i="30"/>
  <c r="C13" i="28" s="1"/>
  <c r="J18" i="29"/>
  <c r="J14" i="29"/>
  <c r="J28" i="29"/>
  <c r="B4" i="30" s="1"/>
  <c r="C8" i="28" s="1"/>
  <c r="B21" i="30"/>
  <c r="C33" i="28" s="1"/>
  <c r="B22" i="30"/>
  <c r="C34" i="28" s="1"/>
  <c r="B23" i="30"/>
  <c r="C20" i="28" s="1"/>
  <c r="B24" i="30"/>
  <c r="C35" i="28" s="1"/>
  <c r="B25" i="30"/>
  <c r="C36" i="28" s="1"/>
  <c r="B28" i="30"/>
  <c r="C37" i="28" s="1"/>
  <c r="B29" i="30"/>
  <c r="C38" i="28" s="1"/>
  <c r="J16" i="29"/>
  <c r="B30" i="30" s="1"/>
  <c r="C39" i="28" s="1"/>
  <c r="B31" i="30"/>
  <c r="C40" i="28" s="1"/>
  <c r="B32" i="30"/>
  <c r="C21" i="28" s="1"/>
  <c r="B33" i="30"/>
  <c r="C41" i="28" s="1"/>
  <c r="B35" i="30"/>
  <c r="C43" i="28" s="1"/>
  <c r="B36" i="30"/>
  <c r="C44" i="28" s="1"/>
  <c r="J27" i="29"/>
  <c r="J43" i="29"/>
  <c r="B40" i="30"/>
  <c r="C5" i="28" s="1"/>
  <c r="B41" i="30"/>
  <c r="C16" i="28" s="1"/>
  <c r="J17" i="33"/>
  <c r="J4" i="33"/>
  <c r="B4" i="34" s="1"/>
  <c r="D8" i="28" s="1"/>
  <c r="B5" i="34"/>
  <c r="D18" i="28" s="1"/>
  <c r="B6" i="34"/>
  <c r="D23" i="28" s="1"/>
  <c r="B7" i="34"/>
  <c r="D24" i="28" s="1"/>
  <c r="B8" i="34"/>
  <c r="D25" i="28" s="1"/>
  <c r="B9" i="34"/>
  <c r="D26" i="28" s="1"/>
  <c r="B10" i="34"/>
  <c r="D27" i="28" s="1"/>
  <c r="B11" i="34"/>
  <c r="D28" i="28" s="1"/>
  <c r="B13" i="34"/>
  <c r="D30" i="28" s="1"/>
  <c r="J14" i="33"/>
  <c r="J8" i="33"/>
  <c r="B40" i="34" s="1"/>
  <c r="D5" i="28" s="1"/>
  <c r="J11" i="33"/>
  <c r="B42" i="34" s="1"/>
  <c r="D19" i="28" s="1"/>
  <c r="B16" i="34"/>
  <c r="D31" i="28" s="1"/>
  <c r="J18" i="33"/>
  <c r="J15" i="33"/>
  <c r="B17" i="34"/>
  <c r="D7" i="28" s="1"/>
  <c r="B18" i="34"/>
  <c r="D32" i="28" s="1"/>
  <c r="J9" i="33"/>
  <c r="J19" i="33"/>
  <c r="B21" i="34"/>
  <c r="D33" i="28" s="1"/>
  <c r="B22" i="34"/>
  <c r="D34" i="28" s="1"/>
  <c r="J20" i="33"/>
  <c r="B23" i="34"/>
  <c r="D20" i="28" s="1"/>
  <c r="B24" i="34"/>
  <c r="D35" i="28" s="1"/>
  <c r="B25" i="34"/>
  <c r="D36" i="28" s="1"/>
  <c r="J5" i="33"/>
  <c r="B28" i="34"/>
  <c r="D37" i="28" s="1"/>
  <c r="B29" i="34"/>
  <c r="D38" i="28" s="1"/>
  <c r="B30" i="34"/>
  <c r="D39" i="28" s="1"/>
  <c r="B31" i="34"/>
  <c r="D40" i="28" s="1"/>
  <c r="B32" i="34"/>
  <c r="D21" i="28" s="1"/>
  <c r="B33" i="34"/>
  <c r="D41" i="28" s="1"/>
  <c r="D42" i="28"/>
  <c r="B35" i="34"/>
  <c r="D43" i="28" s="1"/>
  <c r="B36" i="34"/>
  <c r="D44" i="28"/>
  <c r="J10" i="33"/>
  <c r="J23" i="33"/>
  <c r="B39" i="34"/>
  <c r="D12" i="28" s="1"/>
  <c r="J16" i="33"/>
  <c r="J12" i="33"/>
  <c r="J6" i="33"/>
  <c r="B14" i="34" s="1"/>
  <c r="D6" i="28" s="1"/>
  <c r="J21" i="33"/>
  <c r="B43" i="34"/>
  <c r="D11" i="28" s="1"/>
  <c r="B5" i="46"/>
  <c r="B6" i="46"/>
  <c r="B7" i="46"/>
  <c r="B8" i="46"/>
  <c r="B9" i="46"/>
  <c r="B10" i="46"/>
  <c r="B11" i="46"/>
  <c r="B12" i="46"/>
  <c r="B13" i="46"/>
  <c r="B18" i="46"/>
  <c r="B21" i="46"/>
  <c r="B22" i="46"/>
  <c r="B24" i="46"/>
  <c r="B25" i="46"/>
  <c r="B28" i="46"/>
  <c r="B29" i="46"/>
  <c r="B30" i="46"/>
  <c r="B31" i="46"/>
  <c r="B32" i="46"/>
  <c r="B33" i="46"/>
  <c r="B34" i="46"/>
  <c r="B35" i="46"/>
  <c r="B36" i="46"/>
  <c r="B40" i="46"/>
  <c r="B41" i="46"/>
  <c r="B42" i="46"/>
  <c r="B43" i="46"/>
  <c r="B3" i="36"/>
  <c r="F15" i="28" s="1"/>
  <c r="J25" i="35"/>
  <c r="B6" i="36"/>
  <c r="F23" i="28" s="1"/>
  <c r="B7" i="36"/>
  <c r="F24" i="28" s="1"/>
  <c r="B8" i="36"/>
  <c r="F25" i="28" s="1"/>
  <c r="B9" i="36"/>
  <c r="F26" i="28" s="1"/>
  <c r="B10" i="36"/>
  <c r="F27" i="28" s="1"/>
  <c r="B11" i="36"/>
  <c r="F28" i="28" s="1"/>
  <c r="B13" i="36"/>
  <c r="F30" i="28" s="1"/>
  <c r="J15" i="35"/>
  <c r="J8" i="35"/>
  <c r="J12" i="35"/>
  <c r="J14" i="35"/>
  <c r="J9" i="35"/>
  <c r="J16" i="35"/>
  <c r="B18" i="36"/>
  <c r="F32" i="28" s="1"/>
  <c r="B19" i="36"/>
  <c r="F10" i="28" s="1"/>
  <c r="J10" i="35"/>
  <c r="J6" i="35"/>
  <c r="B14" i="36" s="1"/>
  <c r="F6" i="28" s="1"/>
  <c r="B21" i="36"/>
  <c r="F33" i="28" s="1"/>
  <c r="B22" i="36"/>
  <c r="F34" i="28" s="1"/>
  <c r="B23" i="36"/>
  <c r="F20" i="28" s="1"/>
  <c r="B24" i="36"/>
  <c r="F35" i="28" s="1"/>
  <c r="B25" i="36"/>
  <c r="F36" i="28" s="1"/>
  <c r="B28" i="36"/>
  <c r="F37" i="28" s="1"/>
  <c r="B29" i="36"/>
  <c r="F38" i="28" s="1"/>
  <c r="B30" i="36"/>
  <c r="F39" i="28" s="1"/>
  <c r="B31" i="36"/>
  <c r="F40" i="28" s="1"/>
  <c r="B32" i="36"/>
  <c r="F21" i="28" s="1"/>
  <c r="B33" i="36"/>
  <c r="F41" i="28" s="1"/>
  <c r="B35" i="36"/>
  <c r="F43" i="28" s="1"/>
  <c r="B36" i="36"/>
  <c r="F44" i="28" s="1"/>
  <c r="J13" i="35"/>
  <c r="J20" i="35"/>
  <c r="J7" i="35"/>
  <c r="B4" i="36" s="1"/>
  <c r="F8" i="28" s="1"/>
  <c r="J22" i="35"/>
  <c r="J4" i="35"/>
  <c r="J17" i="35"/>
  <c r="B39" i="36"/>
  <c r="F12" i="28" s="1"/>
  <c r="J19" i="35"/>
  <c r="B40" i="36"/>
  <c r="F5" i="28" s="1"/>
  <c r="B41" i="36"/>
  <c r="F16" i="28" s="1"/>
  <c r="B42" i="36"/>
  <c r="F19" i="28" s="1"/>
  <c r="B43" i="36"/>
  <c r="F11" i="28" s="1"/>
  <c r="B3" i="42"/>
  <c r="G15" i="28" s="1"/>
  <c r="J13" i="41"/>
  <c r="J4" i="41"/>
  <c r="J11" i="41"/>
  <c r="B5" i="42"/>
  <c r="G18" i="28" s="1"/>
  <c r="B6" i="42"/>
  <c r="G23" i="28" s="1"/>
  <c r="B7" i="42"/>
  <c r="G24" i="28" s="1"/>
  <c r="B8" i="42"/>
  <c r="G25" i="28" s="1"/>
  <c r="B10" i="42"/>
  <c r="G27" i="28" s="1"/>
  <c r="B11" i="42"/>
  <c r="G28" i="28" s="1"/>
  <c r="B13" i="42"/>
  <c r="G30" i="28" s="1"/>
  <c r="J12" i="41"/>
  <c r="J9" i="41"/>
  <c r="J8" i="41"/>
  <c r="B19" i="42"/>
  <c r="G10" i="28" s="1"/>
  <c r="J10" i="41"/>
  <c r="B16" i="42"/>
  <c r="G31" i="28" s="1"/>
  <c r="J14" i="41"/>
  <c r="J5" i="41"/>
  <c r="B18" i="42"/>
  <c r="G32" i="28" s="1"/>
  <c r="B21" i="42"/>
  <c r="G33" i="28" s="1"/>
  <c r="B22" i="42"/>
  <c r="G34" i="28" s="1"/>
  <c r="B24" i="42"/>
  <c r="G35" i="28" s="1"/>
  <c r="B25" i="42"/>
  <c r="G36" i="28" s="1"/>
  <c r="B28" i="42"/>
  <c r="G37" i="28" s="1"/>
  <c r="B29" i="42"/>
  <c r="G38" i="28" s="1"/>
  <c r="B30" i="42"/>
  <c r="G39" i="28" s="1"/>
  <c r="B31" i="42"/>
  <c r="G40" i="28" s="1"/>
  <c r="B32" i="42"/>
  <c r="G21" i="28" s="1"/>
  <c r="B33" i="42"/>
  <c r="G41" i="28" s="1"/>
  <c r="G42" i="28"/>
  <c r="B35" i="42"/>
  <c r="G43" i="28" s="1"/>
  <c r="B36" i="42"/>
  <c r="G44" i="28" s="1"/>
  <c r="B37" i="42"/>
  <c r="G9" i="28" s="1"/>
  <c r="B41" i="42"/>
  <c r="G16" i="28" s="1"/>
  <c r="B42" i="42"/>
  <c r="G19" i="28" s="1"/>
  <c r="B43" i="42"/>
  <c r="G11" i="28" s="1"/>
  <c r="B3" i="38"/>
  <c r="H15" i="28" s="1"/>
  <c r="J8" i="37"/>
  <c r="B19" i="38"/>
  <c r="H10" i="28" s="1"/>
  <c r="J22" i="37"/>
  <c r="J28" i="37"/>
  <c r="B5" i="38"/>
  <c r="H18" i="28" s="1"/>
  <c r="B6" i="38"/>
  <c r="H23" i="28" s="1"/>
  <c r="B7" i="38"/>
  <c r="H24" i="28" s="1"/>
  <c r="B8" i="38"/>
  <c r="H25" i="28" s="1"/>
  <c r="B9" i="38"/>
  <c r="H26" i="28" s="1"/>
  <c r="B10" i="38"/>
  <c r="H27" i="28" s="1"/>
  <c r="B11" i="38"/>
  <c r="H28" i="28" s="1"/>
  <c r="B13" i="38"/>
  <c r="H30" i="28" s="1"/>
  <c r="J11" i="37"/>
  <c r="J21" i="37"/>
  <c r="B26" i="38"/>
  <c r="H13" i="28" s="1"/>
  <c r="J18" i="37"/>
  <c r="B15" i="38"/>
  <c r="H17" i="28" s="1"/>
  <c r="B16" i="38"/>
  <c r="H31" i="28" s="1"/>
  <c r="J15" i="37"/>
  <c r="J5" i="37"/>
  <c r="B4" i="38" s="1"/>
  <c r="H8" i="28" s="1"/>
  <c r="J16" i="37"/>
  <c r="B38" i="38" s="1"/>
  <c r="H14" i="28" s="1"/>
  <c r="J23" i="37"/>
  <c r="B18" i="38"/>
  <c r="H32" i="28" s="1"/>
  <c r="J27" i="37"/>
  <c r="B21" i="38"/>
  <c r="H33" i="28" s="1"/>
  <c r="B22" i="38"/>
  <c r="H34" i="28" s="1"/>
  <c r="B23" i="38"/>
  <c r="H20" i="28" s="1"/>
  <c r="B24" i="38"/>
  <c r="H35" i="28" s="1"/>
  <c r="B25" i="38"/>
  <c r="H36" i="28" s="1"/>
  <c r="B28" i="38"/>
  <c r="H37" i="28" s="1"/>
  <c r="B29" i="38"/>
  <c r="H38" i="28" s="1"/>
  <c r="B30" i="38"/>
  <c r="H39" i="28" s="1"/>
  <c r="B31" i="38"/>
  <c r="H40" i="28" s="1"/>
  <c r="B33" i="38"/>
  <c r="H41" i="28" s="1"/>
  <c r="B35" i="38"/>
  <c r="H43" i="28" s="1"/>
  <c r="B36" i="38"/>
  <c r="H44" i="28" s="1"/>
  <c r="J17" i="37"/>
  <c r="J6" i="37"/>
  <c r="B39" i="38"/>
  <c r="H12" i="28" s="1"/>
  <c r="J9" i="37"/>
  <c r="B41" i="38"/>
  <c r="H16" i="28" s="1"/>
  <c r="J12" i="43"/>
  <c r="B37" i="44" s="1"/>
  <c r="I9" i="28" s="1"/>
  <c r="J18" i="43"/>
  <c r="B14" i="44" s="1"/>
  <c r="I6" i="28" s="1"/>
  <c r="J20" i="43"/>
  <c r="J5" i="43"/>
  <c r="B5" i="44"/>
  <c r="I18" i="28" s="1"/>
  <c r="B6" i="44"/>
  <c r="I23" i="28" s="1"/>
  <c r="B7" i="44"/>
  <c r="I24" i="28" s="1"/>
  <c r="B8" i="44"/>
  <c r="I25" i="28" s="1"/>
  <c r="B9" i="44"/>
  <c r="I26" i="28" s="1"/>
  <c r="B10" i="44"/>
  <c r="I27" i="28" s="1"/>
  <c r="B11" i="44"/>
  <c r="I28" i="28" s="1"/>
  <c r="B13" i="44"/>
  <c r="I30" i="28" s="1"/>
  <c r="J27" i="43"/>
  <c r="J28" i="43"/>
  <c r="J22" i="43"/>
  <c r="J6" i="43"/>
  <c r="J8" i="43"/>
  <c r="J11" i="43"/>
  <c r="B15" i="44"/>
  <c r="I17" i="28" s="1"/>
  <c r="B16" i="44"/>
  <c r="I31" i="28" s="1"/>
  <c r="B18" i="44"/>
  <c r="I32" i="28" s="1"/>
  <c r="J15" i="43"/>
  <c r="J7" i="43"/>
  <c r="J30" i="43"/>
  <c r="J19" i="43"/>
  <c r="B21" i="44"/>
  <c r="I33" i="28" s="1"/>
  <c r="B22" i="44"/>
  <c r="I34" i="28" s="1"/>
  <c r="B23" i="44"/>
  <c r="I20" i="28" s="1"/>
  <c r="B24" i="44"/>
  <c r="I35" i="28" s="1"/>
  <c r="B25" i="44"/>
  <c r="I36" i="28" s="1"/>
  <c r="B28" i="44"/>
  <c r="I37" i="28" s="1"/>
  <c r="B29" i="44"/>
  <c r="I38" i="28" s="1"/>
  <c r="B30" i="44"/>
  <c r="I39" i="28" s="1"/>
  <c r="B31" i="44"/>
  <c r="I40" i="28" s="1"/>
  <c r="B32" i="44"/>
  <c r="I21" i="28" s="1"/>
  <c r="B33" i="44"/>
  <c r="I41" i="28" s="1"/>
  <c r="B35" i="44"/>
  <c r="I43" i="28" s="1"/>
  <c r="B36" i="44"/>
  <c r="I44" i="28" s="1"/>
  <c r="J31" i="43"/>
  <c r="J23" i="43"/>
  <c r="J24" i="43"/>
  <c r="J29" i="43"/>
  <c r="J37" i="43"/>
  <c r="J10" i="43"/>
  <c r="B20" i="44" s="1"/>
  <c r="I4" i="28" s="1"/>
  <c r="B41" i="44"/>
  <c r="I16" i="28" s="1"/>
  <c r="J26" i="43"/>
  <c r="J3" i="28"/>
  <c r="J14" i="2"/>
  <c r="J9" i="2"/>
  <c r="J21" i="2"/>
  <c r="B27" i="3"/>
  <c r="B22" i="28" s="1"/>
  <c r="J23" i="2"/>
  <c r="J12" i="2"/>
  <c r="B19" i="3" s="1"/>
  <c r="B10" i="28" s="1"/>
  <c r="J24" i="2"/>
  <c r="J20" i="2"/>
  <c r="B5" i="3"/>
  <c r="B18" i="28" s="1"/>
  <c r="B6" i="3"/>
  <c r="B23" i="28" s="1"/>
  <c r="B7" i="3"/>
  <c r="B24" i="28" s="1"/>
  <c r="B8" i="3"/>
  <c r="B25" i="28" s="1"/>
  <c r="B9" i="3"/>
  <c r="B26" i="28" s="1"/>
  <c r="B10" i="3"/>
  <c r="B27" i="28" s="1"/>
  <c r="B11" i="3"/>
  <c r="B28" i="28" s="1"/>
  <c r="B12" i="3"/>
  <c r="B29" i="28" s="1"/>
  <c r="B13" i="3"/>
  <c r="B30" i="28" s="1"/>
  <c r="J10" i="2"/>
  <c r="J18" i="2"/>
  <c r="B15" i="3"/>
  <c r="B17" i="28" s="1"/>
  <c r="B16" i="3"/>
  <c r="B31" i="28" s="1"/>
  <c r="J27" i="2"/>
  <c r="J8" i="2"/>
  <c r="J25" i="2"/>
  <c r="B18" i="3"/>
  <c r="B32" i="28" s="1"/>
  <c r="J16" i="2"/>
  <c r="J29" i="2"/>
  <c r="J31" i="2"/>
  <c r="J28" i="2"/>
  <c r="B21" i="3"/>
  <c r="B33" i="28" s="1"/>
  <c r="B22" i="3"/>
  <c r="B34" i="28" s="1"/>
  <c r="J35" i="2"/>
  <c r="B23" i="3"/>
  <c r="B20" i="28" s="1"/>
  <c r="B24" i="3"/>
  <c r="B35" i="28" s="1"/>
  <c r="B25" i="3"/>
  <c r="B36" i="28" s="1"/>
  <c r="J19" i="2"/>
  <c r="B28" i="3"/>
  <c r="B37" i="28" s="1"/>
  <c r="B29" i="3"/>
  <c r="B38" i="28" s="1"/>
  <c r="B30" i="3"/>
  <c r="B39" i="28" s="1"/>
  <c r="B32" i="3"/>
  <c r="B21" i="28" s="1"/>
  <c r="B33" i="3"/>
  <c r="B41" i="28" s="1"/>
  <c r="B34" i="3"/>
  <c r="B42" i="28" s="1"/>
  <c r="B35" i="3"/>
  <c r="B43" i="28" s="1"/>
  <c r="B36" i="3"/>
  <c r="B44" i="28" s="1"/>
  <c r="J7" i="2"/>
  <c r="B37" i="3" s="1"/>
  <c r="B9" i="28" s="1"/>
  <c r="B39" i="3"/>
  <c r="B12" i="28" s="1"/>
  <c r="B41" i="3"/>
  <c r="B16" i="28" s="1"/>
  <c r="J22" i="2"/>
  <c r="J26" i="2"/>
  <c r="J11" i="2"/>
  <c r="B3" i="3" s="1"/>
  <c r="B15" i="28" s="1"/>
  <c r="J32" i="37"/>
  <c r="J33" i="37"/>
  <c r="J34" i="37"/>
  <c r="J35" i="37"/>
  <c r="J36" i="37"/>
  <c r="J37" i="37"/>
  <c r="J38" i="37"/>
  <c r="J39" i="37"/>
  <c r="J40" i="37"/>
  <c r="J41" i="37"/>
  <c r="J42" i="37"/>
  <c r="J43" i="37"/>
  <c r="J44" i="37"/>
  <c r="J45" i="37"/>
  <c r="J46" i="37"/>
  <c r="J47" i="37"/>
  <c r="J48" i="37"/>
  <c r="J49" i="37"/>
  <c r="J50" i="37"/>
  <c r="J51" i="37"/>
  <c r="J52" i="37"/>
  <c r="J53" i="37"/>
  <c r="J51" i="35"/>
  <c r="J52" i="35"/>
  <c r="J53" i="35"/>
  <c r="J27" i="35"/>
  <c r="J23" i="35"/>
  <c r="J11" i="35"/>
  <c r="B5" i="36"/>
  <c r="F18" i="28" s="1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48" i="33"/>
  <c r="J49" i="33"/>
  <c r="J50" i="33"/>
  <c r="J51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33" i="29"/>
  <c r="J40" i="29"/>
  <c r="J45" i="29"/>
  <c r="J46" i="29"/>
  <c r="J47" i="29"/>
  <c r="J48" i="29"/>
  <c r="J49" i="29"/>
  <c r="J50" i="29"/>
  <c r="J51" i="2"/>
  <c r="J52" i="2"/>
  <c r="J53" i="2"/>
  <c r="J47" i="2"/>
  <c r="J48" i="2"/>
  <c r="J49" i="2"/>
  <c r="J50" i="2"/>
  <c r="J32" i="2"/>
  <c r="J39" i="2"/>
  <c r="J40" i="2"/>
  <c r="J41" i="2"/>
  <c r="J42" i="2"/>
  <c r="J43" i="2"/>
  <c r="J44" i="2"/>
  <c r="J45" i="2"/>
  <c r="J46" i="2"/>
  <c r="J20" i="37"/>
  <c r="J30" i="2"/>
  <c r="J36" i="2"/>
  <c r="J38" i="2"/>
  <c r="J41" i="29"/>
  <c r="J12" i="29"/>
  <c r="J21" i="43"/>
  <c r="J6" i="2"/>
  <c r="B40" i="3" s="1"/>
  <c r="B5" i="28" s="1"/>
  <c r="J33" i="2"/>
  <c r="J33" i="43"/>
  <c r="J9" i="43"/>
  <c r="B40" i="44" s="1"/>
  <c r="I5" i="28" s="1"/>
  <c r="J35" i="43"/>
  <c r="J36" i="43"/>
  <c r="J14" i="37"/>
  <c r="B42" i="38"/>
  <c r="H19" i="28" s="1"/>
  <c r="J25" i="37"/>
  <c r="B43" i="38"/>
  <c r="H11" i="28" s="1"/>
  <c r="J10" i="37"/>
  <c r="J24" i="35"/>
  <c r="J26" i="35"/>
  <c r="B15" i="36"/>
  <c r="F17" i="28" s="1"/>
  <c r="J18" i="35"/>
  <c r="B26" i="36" s="1"/>
  <c r="F13" i="28" s="1"/>
  <c r="J21" i="35"/>
  <c r="J31" i="33"/>
  <c r="J13" i="33"/>
  <c r="J22" i="33"/>
  <c r="J30" i="33"/>
  <c r="J44" i="29"/>
  <c r="J22" i="29"/>
  <c r="B15" i="42"/>
  <c r="G17" i="28" s="1"/>
  <c r="B39" i="42"/>
  <c r="G12" i="28" s="1"/>
  <c r="J32" i="33"/>
  <c r="J33" i="33"/>
  <c r="J21" i="29"/>
  <c r="B39" i="30"/>
  <c r="C12" i="28" s="1"/>
  <c r="B40" i="38"/>
  <c r="H5" i="28" s="1"/>
  <c r="B20" i="42"/>
  <c r="G4" i="28" s="1"/>
  <c r="B39" i="44"/>
  <c r="I12" i="28" s="1"/>
  <c r="B26" i="44"/>
  <c r="I13" i="28" s="1"/>
  <c r="B4" i="46"/>
  <c r="B15" i="46"/>
  <c r="B27" i="44"/>
  <c r="I22" i="28" s="1"/>
  <c r="B17" i="44"/>
  <c r="I7" i="28" s="1"/>
  <c r="B41" i="34"/>
  <c r="D16" i="28" s="1"/>
  <c r="B26" i="34"/>
  <c r="D13" i="28" s="1"/>
  <c r="B26" i="46"/>
  <c r="B37" i="34"/>
  <c r="D9" i="28" s="1"/>
  <c r="B19" i="34"/>
  <c r="D10" i="28" s="1"/>
  <c r="B42" i="3"/>
  <c r="B19" i="28" s="1"/>
  <c r="B26" i="42"/>
  <c r="G13" i="28" s="1"/>
  <c r="B16" i="36"/>
  <c r="F31" i="28" s="1"/>
  <c r="B32" i="38"/>
  <c r="H21" i="28" s="1"/>
  <c r="B27" i="46"/>
  <c r="B26" i="3"/>
  <c r="B13" i="28" s="1"/>
  <c r="B17" i="3"/>
  <c r="B7" i="28" s="1"/>
  <c r="B43" i="44"/>
  <c r="I11" i="28" s="1"/>
  <c r="B37" i="46"/>
  <c r="B23" i="46"/>
  <c r="B3" i="46"/>
  <c r="B3" i="34"/>
  <c r="D15" i="28" s="1"/>
  <c r="B19" i="30"/>
  <c r="C10" i="28" s="1"/>
  <c r="B15" i="30"/>
  <c r="C17" i="28" s="1"/>
  <c r="B4" i="3"/>
  <c r="B8" i="28" s="1"/>
  <c r="B43" i="3"/>
  <c r="B11" i="28" s="1"/>
  <c r="B20" i="36"/>
  <c r="F4" i="28" s="1"/>
  <c r="B3" i="44"/>
  <c r="I15" i="28" s="1"/>
  <c r="B19" i="46"/>
  <c r="B15" i="34"/>
  <c r="D17" i="28" s="1"/>
  <c r="B17" i="46"/>
  <c r="B20" i="3"/>
  <c r="B4" i="28" s="1"/>
  <c r="B17" i="42"/>
  <c r="G7" i="28" s="1"/>
  <c r="B19" i="44"/>
  <c r="I10" i="28" s="1"/>
  <c r="B20" i="30"/>
  <c r="C4" i="28" s="1"/>
  <c r="B4" i="42"/>
  <c r="G8" i="28" s="1"/>
  <c r="B27" i="42"/>
  <c r="G22" i="28" s="1"/>
  <c r="B14" i="42"/>
  <c r="G6" i="28" s="1"/>
  <c r="B37" i="36"/>
  <c r="F9" i="28" s="1"/>
  <c r="B42" i="44"/>
  <c r="I19" i="28" s="1"/>
  <c r="B4" i="44"/>
  <c r="I8" i="28" s="1"/>
  <c r="B37" i="38"/>
  <c r="H9" i="28" s="1"/>
  <c r="B20" i="46"/>
  <c r="B14" i="46"/>
  <c r="B20" i="34"/>
  <c r="D4" i="28" s="1"/>
  <c r="B4" i="40" l="1"/>
  <c r="E8" i="28" s="1"/>
  <c r="E3" i="28" s="1"/>
  <c r="B43" i="30"/>
  <c r="C11" i="28" s="1"/>
  <c r="B42" i="30"/>
  <c r="C19" i="28" s="1"/>
  <c r="K19" i="28" s="1"/>
  <c r="B14" i="30"/>
  <c r="C6" i="28" s="1"/>
  <c r="D3" i="28"/>
  <c r="B17" i="38"/>
  <c r="H7" i="28" s="1"/>
  <c r="H3" i="28" s="1"/>
  <c r="B17" i="36"/>
  <c r="F7" i="28" s="1"/>
  <c r="K27" i="28"/>
  <c r="I3" i="28"/>
  <c r="K30" i="28"/>
  <c r="K44" i="28"/>
  <c r="K37" i="28"/>
  <c r="K31" i="28"/>
  <c r="K21" i="28"/>
  <c r="K24" i="28"/>
  <c r="K42" i="28"/>
  <c r="K32" i="28"/>
  <c r="K18" i="28"/>
  <c r="K9" i="28"/>
  <c r="K29" i="28"/>
  <c r="G3" i="28"/>
  <c r="K28" i="28"/>
  <c r="K11" i="28"/>
  <c r="K43" i="28"/>
  <c r="K17" i="28"/>
  <c r="K10" i="28"/>
  <c r="K4" i="28"/>
  <c r="K13" i="28"/>
  <c r="K15" i="28"/>
  <c r="K36" i="28"/>
  <c r="K26" i="28"/>
  <c r="K41" i="28"/>
  <c r="K35" i="28"/>
  <c r="K25" i="28"/>
  <c r="K22" i="28"/>
  <c r="K14" i="28"/>
  <c r="K20" i="28"/>
  <c r="K16" i="28"/>
  <c r="K40" i="28"/>
  <c r="K23" i="28"/>
  <c r="K5" i="28"/>
  <c r="K12" i="28"/>
  <c r="K39" i="28"/>
  <c r="K34" i="28"/>
  <c r="K38" i="28"/>
  <c r="K33" i="28"/>
  <c r="B14" i="3"/>
  <c r="B6" i="28" s="1"/>
  <c r="K8" i="28" l="1"/>
  <c r="C3" i="28"/>
  <c r="K6" i="28"/>
  <c r="K7" i="28"/>
  <c r="F3" i="28"/>
  <c r="B3" i="28"/>
  <c r="K3" i="28" l="1"/>
</calcChain>
</file>

<file path=xl/sharedStrings.xml><?xml version="1.0" encoding="utf-8"?>
<sst xmlns="http://schemas.openxmlformats.org/spreadsheetml/2006/main" count="949" uniqueCount="210">
  <si>
    <t>EC</t>
  </si>
  <si>
    <t>Pos</t>
  </si>
  <si>
    <t>Name</t>
  </si>
  <si>
    <t>Fed</t>
  </si>
  <si>
    <t>Bike</t>
  </si>
  <si>
    <t>Total</t>
  </si>
  <si>
    <t>SVEMO</t>
  </si>
  <si>
    <t>FMI</t>
  </si>
  <si>
    <t>RFME</t>
  </si>
  <si>
    <t>ACCR</t>
  </si>
  <si>
    <t>NMF</t>
  </si>
  <si>
    <t>DMSB</t>
  </si>
  <si>
    <t>PZM</t>
  </si>
  <si>
    <t>Points</t>
  </si>
  <si>
    <t>ACU</t>
  </si>
  <si>
    <t>SML</t>
  </si>
  <si>
    <t>FFM</t>
  </si>
  <si>
    <t>KNMV</t>
  </si>
  <si>
    <t>OeAMTC</t>
  </si>
  <si>
    <t>SMF</t>
  </si>
  <si>
    <t>FMB</t>
  </si>
  <si>
    <t>LaMFS</t>
  </si>
  <si>
    <t>EMF</t>
  </si>
  <si>
    <t>DMU</t>
  </si>
  <si>
    <t>MA</t>
  </si>
  <si>
    <t>CTMSA</t>
  </si>
  <si>
    <t>2013 FIM Europe Trial participants pr FMN</t>
  </si>
  <si>
    <t>FMN</t>
  </si>
  <si>
    <t>JUNIOR</t>
  </si>
  <si>
    <t>OVER 40</t>
  </si>
  <si>
    <t>EC INTER</t>
  </si>
  <si>
    <t>WOMEN</t>
  </si>
  <si>
    <t>W INT</t>
  </si>
  <si>
    <t>YOUTH</t>
  </si>
  <si>
    <t>Y INT</t>
  </si>
  <si>
    <t>TOTAL</t>
  </si>
  <si>
    <t>%/FMN</t>
  </si>
  <si>
    <t>AMA</t>
  </si>
  <si>
    <t>AMOTOE</t>
  </si>
  <si>
    <t>BFMS</t>
  </si>
  <si>
    <t>BIHAMK</t>
  </si>
  <si>
    <t>BMF</t>
  </si>
  <si>
    <t>CMA</t>
  </si>
  <si>
    <t>CYMF</t>
  </si>
  <si>
    <t>FMA</t>
  </si>
  <si>
    <t>FMP</t>
  </si>
  <si>
    <t>FMRM</t>
  </si>
  <si>
    <t>FMS</t>
  </si>
  <si>
    <t>FMU</t>
  </si>
  <si>
    <t>FRM</t>
  </si>
  <si>
    <t>LMSF</t>
  </si>
  <si>
    <t>MAMS</t>
  </si>
  <si>
    <t>MCM</t>
  </si>
  <si>
    <t>MCUI</t>
  </si>
  <si>
    <t>MFJ</t>
  </si>
  <si>
    <t>MFR</t>
  </si>
  <si>
    <t>MSI</t>
  </si>
  <si>
    <t>MUL</t>
  </si>
  <si>
    <t>p0inTS / FMN</t>
  </si>
  <si>
    <t>FMNR</t>
  </si>
  <si>
    <t>AMZS</t>
  </si>
  <si>
    <t>LaMSF</t>
  </si>
  <si>
    <t>AMF</t>
  </si>
  <si>
    <t xml:space="preserve">Pobladura </t>
  </si>
  <si>
    <t>Breal</t>
  </si>
  <si>
    <t>Scarlett IOM</t>
  </si>
  <si>
    <t>Piazzatorre</t>
  </si>
  <si>
    <t xml:space="preserve"> Classification European JUNIOR CUP 2022</t>
  </si>
  <si>
    <t>Classification European Championship 2022</t>
  </si>
  <si>
    <t>Classification European OVER 40 CUP 2022</t>
  </si>
  <si>
    <t>EC INTERNATIONAL 2022</t>
  </si>
  <si>
    <t>Classification European WOMEN'S Championship 2022</t>
  </si>
  <si>
    <t xml:space="preserve"> WOMEN INTERNATIONAL 2022</t>
  </si>
  <si>
    <t>Classification European YOUTH Championship 2022</t>
  </si>
  <si>
    <t xml:space="preserve"> YOUTH INTERNATIONAL 2022</t>
  </si>
  <si>
    <t>Y INTER</t>
  </si>
  <si>
    <t>W INTER</t>
  </si>
  <si>
    <t>2022 FIM Europe Trial FMN Ranking</t>
  </si>
  <si>
    <t>HEMINGWAY Harry</t>
  </si>
  <si>
    <t>Beta</t>
  </si>
  <si>
    <t>BEREITER Rodney</t>
  </si>
  <si>
    <t>MATTHEEUWS Emile</t>
  </si>
  <si>
    <t>Vertigo</t>
  </si>
  <si>
    <t>PETRALLI Noe</t>
  </si>
  <si>
    <t>Gas Gas</t>
  </si>
  <si>
    <t>MARTINEZ Pau</t>
  </si>
  <si>
    <t>REUMSCHUSSEL Paul</t>
  </si>
  <si>
    <t>TRS</t>
  </si>
  <si>
    <t>HEIDEL Jonathan</t>
  </si>
  <si>
    <t>VOLD GUNVALDSEN Jarand-Matias</t>
  </si>
  <si>
    <t>FABIAN David</t>
  </si>
  <si>
    <t>MEMPOR Marco</t>
  </si>
  <si>
    <t>LAMPKIN Alfie</t>
  </si>
  <si>
    <t>SNELLING Joe</t>
  </si>
  <si>
    <t>ZYNOWSKI Milozs</t>
  </si>
  <si>
    <t>JAASKELAINEN Samuel</t>
  </si>
  <si>
    <t>RYNCARZ Pawel</t>
  </si>
  <si>
    <t>SUNDBERG Max</t>
  </si>
  <si>
    <t>CRISTINA Valenti</t>
  </si>
  <si>
    <t>Montesa</t>
  </si>
  <si>
    <t>DUDEK Krysztof</t>
  </si>
  <si>
    <t>PARKKONEN Anton</t>
  </si>
  <si>
    <t>TRRS</t>
  </si>
  <si>
    <t>PARKKONEN Max</t>
  </si>
  <si>
    <t>STO Mats Lucas</t>
  </si>
  <si>
    <t>BJORRA Sander</t>
  </si>
  <si>
    <t>SMITH Jarmil</t>
  </si>
  <si>
    <t>SCHWABEDISSEN Nils</t>
  </si>
  <si>
    <t>STAUDIGEL Paul</t>
  </si>
  <si>
    <t>BRATTAS Matias</t>
  </si>
  <si>
    <t>OVERBY Alex</t>
  </si>
  <si>
    <t xml:space="preserve">JORGENSEN Jonas </t>
  </si>
  <si>
    <t>BALOUSEK Jan Christopher</t>
  </si>
  <si>
    <t>SANDVIK Jone</t>
  </si>
  <si>
    <t>Sherco</t>
  </si>
  <si>
    <t>CLARK Dan</t>
  </si>
  <si>
    <t>PEDERSEN Thomas</t>
  </si>
  <si>
    <t>KIPP Marcus</t>
  </si>
  <si>
    <t>FLOESSEL Staffan</t>
  </si>
  <si>
    <t>SELSTOLA Mirko</t>
  </si>
  <si>
    <t>ALVAREZ Eduardo</t>
  </si>
  <si>
    <t>PUYO Sergio</t>
  </si>
  <si>
    <t>HARMSEL Twan</t>
  </si>
  <si>
    <t>Scorpa</t>
  </si>
  <si>
    <t>ADSHEAD Kaytlyn</t>
  </si>
  <si>
    <t>GARCIA Fernando</t>
  </si>
  <si>
    <t>BARRERA Hugo</t>
  </si>
  <si>
    <t>VANDAS Max</t>
  </si>
  <si>
    <t>GONZALEZ Daniel</t>
  </si>
  <si>
    <t>ROBINSON Alicia</t>
  </si>
  <si>
    <t>TOFT Regitze</t>
  </si>
  <si>
    <t>STEINERT Jule</t>
  </si>
  <si>
    <t>SOYER Alycia</t>
  </si>
  <si>
    <t>FONT Maria</t>
  </si>
  <si>
    <t>SPIELVOGEL Eva</t>
  </si>
  <si>
    <t xml:space="preserve">MEIER Keity </t>
  </si>
  <si>
    <t xml:space="preserve">WACHS Vivian </t>
  </si>
  <si>
    <t xml:space="preserve">MONNIER Naomi </t>
  </si>
  <si>
    <t>DIXON Holly</t>
  </si>
  <si>
    <t>KING Brianna</t>
  </si>
  <si>
    <t>PI Laia</t>
  </si>
  <si>
    <t>HERNANDO Daniela</t>
  </si>
  <si>
    <t>SERRADA Claudia</t>
  </si>
  <si>
    <t>MUNOZ Eva</t>
  </si>
  <si>
    <t>HEMINGWAY George</t>
  </si>
  <si>
    <t>NEO Xurxo</t>
  </si>
  <si>
    <t>JORGENSEN Jonas</t>
  </si>
  <si>
    <t>HEIDEL Johannes</t>
  </si>
  <si>
    <t>TURCO Marco</t>
  </si>
  <si>
    <t>GOTZ Sebastian</t>
  </si>
  <si>
    <t>MARTINEZ Eneko</t>
  </si>
  <si>
    <t>LIGHTFOOT Harrison</t>
  </si>
  <si>
    <t>POTTS Jacob</t>
  </si>
  <si>
    <t>ECHENE Pablo</t>
  </si>
  <si>
    <t>PASEK Maciej</t>
  </si>
  <si>
    <t>FORNS Genis</t>
  </si>
  <si>
    <t>SMITH Amaro</t>
  </si>
  <si>
    <t>VENTELON Aime</t>
  </si>
  <si>
    <t>KUTA Richard</t>
  </si>
  <si>
    <t>DEMOULIN Mathias</t>
  </si>
  <si>
    <t xml:space="preserve">TRRS </t>
  </si>
  <si>
    <t>TOUZET Jan</t>
  </si>
  <si>
    <t>OLOFSSON Lukas</t>
  </si>
  <si>
    <t>SAFFER Leon</t>
  </si>
  <si>
    <t>GIACUZZO Genis</t>
  </si>
  <si>
    <t>MEIER Keity</t>
  </si>
  <si>
    <t>ARIAS Senen</t>
  </si>
  <si>
    <t>JORGENSEN Andreas</t>
  </si>
  <si>
    <t>CSIZMAZIA Barnabas Botond</t>
  </si>
  <si>
    <t>PECHACKOVA Denisa</t>
  </si>
  <si>
    <t>TER JUNG Sophia</t>
  </si>
  <si>
    <t>MELCHIOR Erika</t>
  </si>
  <si>
    <t>WEBER Linda</t>
  </si>
  <si>
    <t>PENA Margaux</t>
  </si>
  <si>
    <t>E-M</t>
  </si>
  <si>
    <t>DE RAAF Chantal</t>
  </si>
  <si>
    <t>SCHMIDT Phillipp</t>
  </si>
  <si>
    <t>MONNIER Eouenn</t>
  </si>
  <si>
    <t>LEVINSSON Emil</t>
  </si>
  <si>
    <t>RADULPHE Timeo</t>
  </si>
  <si>
    <t>BESWICK Thomas</t>
  </si>
  <si>
    <t>REMOND Camille</t>
  </si>
  <si>
    <t>SUARD Charlotte</t>
  </si>
  <si>
    <t>BOURRIEN Luca</t>
  </si>
  <si>
    <t>LAURERI Mateo</t>
  </si>
  <si>
    <t>COLIN Gabin</t>
  </si>
  <si>
    <t>GUIRAUD Leo</t>
  </si>
  <si>
    <t>BAILLY Lillian</t>
  </si>
  <si>
    <t>DEN BAES Jitse</t>
  </si>
  <si>
    <t>SCHIELE Jonas</t>
  </si>
  <si>
    <t>FERGUSON Sophie</t>
  </si>
  <si>
    <t>PETERS Summer</t>
  </si>
  <si>
    <t>McCUBBIN Ruby</t>
  </si>
  <si>
    <t>FLETCHER Archie</t>
  </si>
  <si>
    <t>CUBBON Stanley</t>
  </si>
  <si>
    <t>JAASKELAINEN Eelis</t>
  </si>
  <si>
    <t>WARDELL Wayne</t>
  </si>
  <si>
    <t>CAIN Dylan</t>
  </si>
  <si>
    <t>PETERS Corey</t>
  </si>
  <si>
    <t>VANDAS Roman</t>
  </si>
  <si>
    <t>NYBERG Lewis</t>
  </si>
  <si>
    <t>RAU Moritz</t>
  </si>
  <si>
    <t>LINDQUIST Albin</t>
  </si>
  <si>
    <t>ELEY Jake</t>
  </si>
  <si>
    <t>WEBER Nick</t>
  </si>
  <si>
    <t>Scotland</t>
  </si>
  <si>
    <t>MADIGAN Chris</t>
  </si>
  <si>
    <t>MOLYNEUX Aaron</t>
  </si>
  <si>
    <t xml:space="preserve">THOMSON Grant </t>
  </si>
  <si>
    <t>TALBOT 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</si>
</sst>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2"/>
      <color indexed="8"/>
      <name val="Verdana"/>
    </font>
    <font>
      <sz val="11"/>
      <color indexed="8"/>
      <name val="Calibri"/>
      <family val="2"/>
    </font>
    <font>
      <b/>
      <sz val="13"/>
      <color indexed="12"/>
      <name val="Stamp Act"/>
    </font>
    <font>
      <b/>
      <sz val="10"/>
      <color indexed="8"/>
      <name val="Helvetica Neue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9"/>
      <color indexed="12"/>
      <name val="Stamp Act"/>
    </font>
    <font>
      <b/>
      <sz val="11"/>
      <color indexed="8"/>
      <name val="Calibri"/>
      <family val="2"/>
    </font>
    <font>
      <b/>
      <sz val="14"/>
      <color indexed="12"/>
      <name val="Stamp Act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b/>
      <sz val="12"/>
      <color indexed="8"/>
      <name val="Calibri"/>
      <family val="2"/>
    </font>
    <font>
      <u/>
      <sz val="12"/>
      <color theme="11"/>
      <name val="Verdana"/>
      <family val="2"/>
    </font>
    <font>
      <sz val="11"/>
      <color theme="0"/>
      <name val="Calibri"/>
      <family val="2"/>
    </font>
    <font>
      <b/>
      <sz val="11"/>
      <color indexed="17"/>
      <name val="Calibri"/>
      <family val="2"/>
    </font>
    <font>
      <sz val="13"/>
      <color rgb="FF000000"/>
      <name val="Calibri"/>
      <family val="2"/>
    </font>
    <font>
      <sz val="14"/>
      <color indexed="17"/>
      <name val="Calibri"/>
      <family val="2"/>
    </font>
    <font>
      <sz val="8"/>
      <name val="Verdana"/>
      <family val="2"/>
    </font>
    <font>
      <u/>
      <sz val="12"/>
      <color theme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9E5FF"/>
        <bgColor rgb="FF000000"/>
      </patternFill>
    </fill>
    <fill>
      <patternFill patternType="solid">
        <fgColor rgb="FFB9E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D6F4"/>
        <bgColor indexed="64"/>
      </patternFill>
    </fill>
    <fill>
      <patternFill patternType="solid">
        <fgColor rgb="FFA6D6F4"/>
        <bgColor rgb="FF000000"/>
      </patternFill>
    </fill>
    <fill>
      <patternFill patternType="solid">
        <fgColor rgb="FFA6D6F4"/>
        <bgColor auto="1"/>
      </patternFill>
    </fill>
  </fills>
  <borders count="1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1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136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/>
    <xf numFmtId="0" fontId="1" fillId="0" borderId="0" xfId="0" applyNumberFormat="1" applyFont="1" applyAlignment="1"/>
    <xf numFmtId="0" fontId="7" fillId="4" borderId="1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9" fillId="5" borderId="1" xfId="0" applyNumberFormat="1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/>
    <xf numFmtId="0" fontId="10" fillId="6" borderId="1" xfId="0" applyNumberFormat="1" applyFont="1" applyFill="1" applyBorder="1" applyAlignment="1"/>
    <xf numFmtId="0" fontId="11" fillId="0" borderId="1" xfId="0" applyNumberFormat="1" applyFont="1" applyBorder="1" applyAlignment="1"/>
    <xf numFmtId="164" fontId="11" fillId="0" borderId="1" xfId="0" applyNumberFormat="1" applyFont="1" applyBorder="1" applyAlignment="1"/>
    <xf numFmtId="0" fontId="1" fillId="5" borderId="1" xfId="0" applyNumberFormat="1" applyFont="1" applyFill="1" applyBorder="1" applyAlignment="1">
      <alignment horizontal="left"/>
    </xf>
    <xf numFmtId="0" fontId="1" fillId="0" borderId="0" xfId="0" applyNumberFormat="1" applyFont="1" applyAlignment="1"/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NumberFormat="1" applyFont="1" applyBorder="1" applyAlignment="1" applyProtection="1">
      <alignment horizontal="center"/>
      <protection locked="0"/>
    </xf>
    <xf numFmtId="0" fontId="1" fillId="0" borderId="4" xfId="0" applyNumberFormat="1" applyFont="1" applyBorder="1" applyAlignment="1" applyProtection="1">
      <protection locked="0"/>
    </xf>
    <xf numFmtId="0" fontId="1" fillId="0" borderId="3" xfId="0" applyNumberFormat="1" applyFont="1" applyBorder="1" applyAlignment="1" applyProtection="1"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 applyProtection="1"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0" fontId="1" fillId="3" borderId="7" xfId="0" applyNumberFormat="1" applyFont="1" applyFill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5" fillId="3" borderId="7" xfId="0" applyNumberFormat="1" applyFont="1" applyFill="1" applyBorder="1" applyAlignment="1">
      <alignment horizontal="center" vertical="center"/>
    </xf>
    <xf numFmtId="0" fontId="9" fillId="5" borderId="7" xfId="0" applyNumberFormat="1" applyFont="1" applyFill="1" applyBorder="1" applyAlignment="1">
      <alignment vertical="center"/>
    </xf>
    <xf numFmtId="0" fontId="14" fillId="8" borderId="7" xfId="0" applyNumberFormat="1" applyFont="1" applyFill="1" applyBorder="1" applyAlignment="1"/>
    <xf numFmtId="0" fontId="10" fillId="7" borderId="7" xfId="0" applyNumberFormat="1" applyFont="1" applyFill="1" applyBorder="1" applyAlignment="1"/>
    <xf numFmtId="0" fontId="16" fillId="7" borderId="7" xfId="0" applyNumberFormat="1" applyFont="1" applyFill="1" applyBorder="1" applyAlignment="1"/>
    <xf numFmtId="0" fontId="13" fillId="8" borderId="7" xfId="0" applyFont="1" applyFill="1" applyBorder="1" applyAlignment="1"/>
    <xf numFmtId="0" fontId="1" fillId="0" borderId="9" xfId="0" applyNumberFormat="1" applyFont="1" applyBorder="1" applyAlignment="1" applyProtection="1">
      <alignment horizontal="left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>
      <alignment horizontal="center"/>
    </xf>
    <xf numFmtId="0" fontId="1" fillId="0" borderId="9" xfId="0" applyNumberFormat="1" applyFont="1" applyBorder="1" applyAlignment="1" applyProtection="1">
      <protection locked="0"/>
    </xf>
    <xf numFmtId="0" fontId="1" fillId="0" borderId="6" xfId="0" applyNumberFormat="1" applyFont="1" applyFill="1" applyBorder="1" applyAlignment="1">
      <alignment horizontal="center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Border="1" applyAlignment="1" applyProtection="1">
      <alignment horizontal="center"/>
    </xf>
    <xf numFmtId="0" fontId="1" fillId="3" borderId="9" xfId="0" applyNumberFormat="1" applyFont="1" applyFill="1" applyBorder="1" applyAlignment="1" applyProtection="1">
      <alignment horizontal="center"/>
    </xf>
    <xf numFmtId="0" fontId="1" fillId="3" borderId="5" xfId="0" applyNumberFormat="1" applyFont="1" applyFill="1" applyBorder="1" applyAlignment="1" applyProtection="1">
      <alignment horizontal="center"/>
    </xf>
    <xf numFmtId="14" fontId="15" fillId="9" borderId="10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 applyProtection="1">
      <alignment horizontal="center"/>
    </xf>
    <xf numFmtId="0" fontId="1" fillId="0" borderId="7" xfId="0" applyNumberFormat="1" applyFont="1" applyBorder="1" applyAlignment="1" applyProtection="1">
      <alignment horizont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10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>
      <alignment horizontal="center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12" borderId="9" xfId="0" applyNumberFormat="1" applyFont="1" applyFill="1" applyBorder="1" applyAlignment="1" applyProtection="1">
      <alignment horizont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10" borderId="7" xfId="0" applyNumberFormat="1" applyFont="1" applyFill="1" applyBorder="1" applyAlignment="1" applyProtection="1"/>
    <xf numFmtId="0" fontId="1" fillId="0" borderId="13" xfId="0" applyNumberFormat="1" applyFont="1" applyBorder="1" applyAlignment="1" applyProtection="1">
      <protection locked="0"/>
    </xf>
    <xf numFmtId="0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3" xfId="0" applyNumberFormat="1" applyFont="1" applyBorder="1" applyAlignment="1"/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3" xfId="0" applyNumberFormat="1" applyFont="1" applyBorder="1" applyAlignment="1" applyProtection="1">
      <alignment horizontal="center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NumberFormat="1" applyFont="1" applyBorder="1" applyAlignment="1" applyProtection="1">
      <protection locked="0"/>
    </xf>
    <xf numFmtId="0" fontId="7" fillId="0" borderId="10" xfId="0" applyNumberFormat="1" applyFont="1" applyBorder="1" applyAlignment="1" applyProtection="1">
      <protection locked="0"/>
    </xf>
    <xf numFmtId="0" fontId="7" fillId="0" borderId="4" xfId="0" applyNumberFormat="1" applyFont="1" applyBorder="1" applyAlignment="1" applyProtection="1">
      <alignment horizontal="left"/>
      <protection locked="0"/>
    </xf>
    <xf numFmtId="0" fontId="7" fillId="0" borderId="4" xfId="0" applyNumberFormat="1" applyFont="1" applyBorder="1" applyAlignment="1" applyProtection="1">
      <protection locked="0"/>
    </xf>
    <xf numFmtId="0" fontId="7" fillId="0" borderId="13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Border="1" applyAlignment="1" applyProtection="1">
      <protection locked="0"/>
    </xf>
    <xf numFmtId="0" fontId="7" fillId="0" borderId="13" xfId="0" applyNumberFormat="1" applyFont="1" applyBorder="1" applyAlignment="1"/>
    <xf numFmtId="0" fontId="7" fillId="0" borderId="7" xfId="0" applyNumberFormat="1" applyFont="1" applyBorder="1" applyAlignment="1" applyProtection="1">
      <alignment horizontal="left"/>
      <protection locked="0"/>
    </xf>
    <xf numFmtId="0" fontId="7" fillId="0" borderId="7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protection locked="0"/>
    </xf>
    <xf numFmtId="0" fontId="7" fillId="0" borderId="2" xfId="0" applyNumberFormat="1" applyFont="1" applyBorder="1" applyAlignment="1" applyProtection="1">
      <alignment horizontal="left"/>
      <protection locked="0"/>
    </xf>
    <xf numFmtId="0" fontId="7" fillId="0" borderId="13" xfId="0" applyNumberFormat="1" applyFont="1" applyFill="1" applyBorder="1" applyAlignment="1" applyProtection="1">
      <protection locked="0"/>
    </xf>
    <xf numFmtId="0" fontId="1" fillId="3" borderId="13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/>
    <xf numFmtId="0" fontId="5" fillId="13" borderId="4" xfId="0" applyNumberFormat="1" applyFont="1" applyFill="1" applyBorder="1" applyAlignment="1" applyProtection="1">
      <alignment horizontal="center" vertical="center"/>
    </xf>
    <xf numFmtId="0" fontId="1" fillId="3" borderId="14" xfId="0" applyNumberFormat="1" applyFont="1" applyFill="1" applyBorder="1" applyAlignment="1" applyProtection="1">
      <alignment horizontal="center"/>
    </xf>
    <xf numFmtId="0" fontId="1" fillId="14" borderId="0" xfId="0" applyNumberFormat="1" applyFont="1" applyFill="1" applyBorder="1" applyAlignment="1" applyProtection="1">
      <alignment horizontal="center"/>
    </xf>
    <xf numFmtId="0" fontId="3" fillId="14" borderId="0" xfId="0" applyNumberFormat="1" applyFont="1" applyFill="1" applyBorder="1" applyAlignment="1">
      <alignment horizontal="center" vertical="top" wrapText="1"/>
    </xf>
    <xf numFmtId="0" fontId="5" fillId="14" borderId="0" xfId="0" applyNumberFormat="1" applyFont="1" applyFill="1" applyBorder="1" applyAlignment="1">
      <alignment horizontal="center" vertical="center"/>
    </xf>
    <xf numFmtId="0" fontId="7" fillId="0" borderId="13" xfId="0" applyNumberFormat="1" applyFont="1" applyBorder="1" applyAlignment="1" applyProtection="1">
      <alignment horizontal="center"/>
      <protection locked="0"/>
    </xf>
    <xf numFmtId="0" fontId="1" fillId="15" borderId="13" xfId="0" applyNumberFormat="1" applyFont="1" applyFill="1" applyBorder="1" applyAlignment="1" applyProtection="1"/>
    <xf numFmtId="0" fontId="7" fillId="0" borderId="13" xfId="0" applyNumberFormat="1" applyFont="1" applyFill="1" applyBorder="1" applyAlignment="1" applyProtection="1">
      <alignment horizontal="center"/>
      <protection locked="0"/>
    </xf>
    <xf numFmtId="0" fontId="7" fillId="0" borderId="4" xfId="0" applyNumberFormat="1" applyFont="1" applyBorder="1" applyAlignment="1" applyProtection="1">
      <alignment horizontal="center"/>
      <protection locked="0"/>
    </xf>
    <xf numFmtId="0" fontId="15" fillId="16" borderId="11" xfId="0" applyFont="1" applyFill="1" applyBorder="1" applyAlignment="1" applyProtection="1">
      <alignment horizontal="center" vertical="center"/>
    </xf>
    <xf numFmtId="0" fontId="15" fillId="16" borderId="12" xfId="0" applyFont="1" applyFill="1" applyBorder="1" applyAlignment="1" applyProtection="1">
      <alignment horizontal="center" vertical="center"/>
    </xf>
    <xf numFmtId="0" fontId="5" fillId="17" borderId="13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Border="1" applyAlignment="1" applyProtection="1">
      <alignment horizontal="center"/>
      <protection locked="0"/>
    </xf>
    <xf numFmtId="0" fontId="7" fillId="0" borderId="13" xfId="0" applyNumberFormat="1" applyFont="1" applyBorder="1" applyAlignment="1">
      <alignment horizontal="center"/>
    </xf>
    <xf numFmtId="0" fontId="7" fillId="0" borderId="2" xfId="0" applyNumberFormat="1" applyFont="1" applyBorder="1" applyAlignment="1" applyProtection="1">
      <alignment horizontal="center"/>
      <protection locked="0"/>
    </xf>
    <xf numFmtId="0" fontId="7" fillId="0" borderId="9" xfId="0" applyNumberFormat="1" applyFont="1" applyBorder="1" applyAlignment="1" applyProtection="1">
      <alignment horizontal="center"/>
      <protection locked="0"/>
    </xf>
    <xf numFmtId="0" fontId="1" fillId="0" borderId="7" xfId="0" applyNumberFormat="1" applyFont="1" applyBorder="1" applyAlignment="1"/>
    <xf numFmtId="14" fontId="5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14" fontId="15" fillId="9" borderId="13" xfId="0" applyNumberFormat="1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0" fontId="9" fillId="5" borderId="7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top" wrapText="1"/>
    </xf>
    <xf numFmtId="0" fontId="3" fillId="2" borderId="13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4" fillId="3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Border="1" applyAlignment="1"/>
    <xf numFmtId="0" fontId="2" fillId="11" borderId="4" xfId="0" applyNumberFormat="1" applyFont="1" applyFill="1" applyBorder="1" applyAlignment="1" applyProtection="1">
      <alignment horizontal="center" vertical="center" wrapText="1"/>
    </xf>
    <xf numFmtId="0" fontId="3" fillId="11" borderId="4" xfId="0" applyNumberFormat="1" applyFont="1" applyFill="1" applyBorder="1" applyAlignment="1" applyProtection="1">
      <alignment horizontal="center" vertical="top" wrapText="1"/>
    </xf>
    <xf numFmtId="0" fontId="3" fillId="11" borderId="13" xfId="0" applyNumberFormat="1" applyFont="1" applyFill="1" applyBorder="1" applyAlignment="1" applyProtection="1">
      <alignment horizontal="center" vertical="top" wrapText="1"/>
    </xf>
    <xf numFmtId="0" fontId="4" fillId="3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Border="1" applyAlignment="1" applyProtection="1"/>
    <xf numFmtId="0" fontId="4" fillId="13" borderId="4" xfId="0" applyNumberFormat="1" applyFont="1" applyFill="1" applyBorder="1" applyAlignment="1" applyProtection="1">
      <alignment horizontal="center" vertical="center"/>
    </xf>
    <xf numFmtId="0" fontId="1" fillId="13" borderId="4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/>
    <xf numFmtId="0" fontId="3" fillId="2" borderId="9" xfId="0" applyNumberFormat="1" applyFont="1" applyFill="1" applyBorder="1" applyAlignment="1" applyProtection="1">
      <alignment horizontal="center" vertical="top" wrapText="1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</cellXfs>
  <cellStyles count="131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097FF"/>
      <rgbColor rgb="FFEAEAEA"/>
      <rgbColor rgb="FFCBCCCB"/>
      <rgbColor rgb="FFB9E5FF"/>
      <rgbColor rgb="FFBCFB9D"/>
      <rgbColor rgb="FFFEFFFF"/>
      <rgbColor rgb="FFC1C1C1"/>
      <rgbColor rgb="FFBABABA"/>
      <rgbColor rgb="FFB8B8B8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90"/>
  <sheetViews>
    <sheetView showGridLines="0" topLeftCell="A4" zoomScale="125" zoomScaleNormal="125" workbookViewId="0">
      <selection activeCell="B8" sqref="B8"/>
    </sheetView>
  </sheetViews>
  <sheetFormatPr defaultColWidth="4.15234375" defaultRowHeight="13.5" customHeight="1"/>
  <cols>
    <col min="1" max="1" width="4.15234375" style="2" customWidth="1"/>
    <col min="2" max="2" width="21.07421875" style="2" customWidth="1"/>
    <col min="3" max="3" width="6.61328125" style="2" customWidth="1"/>
    <col min="4" max="4" width="7.61328125" style="2" customWidth="1"/>
    <col min="5" max="5" width="10.15234375" style="2" customWidth="1"/>
    <col min="6" max="7" width="9.69140625" style="2" customWidth="1"/>
    <col min="8" max="8" width="9.69140625" style="13" customWidth="1"/>
    <col min="9" max="9" width="10.15234375" style="13" customWidth="1"/>
    <col min="10" max="10" width="5.23046875" style="2" customWidth="1"/>
    <col min="11" max="11" width="4.15234375" style="2" customWidth="1"/>
    <col min="12" max="12" width="4.84375" style="2" customWidth="1"/>
    <col min="13" max="13" width="5" style="2" customWidth="1"/>
    <col min="14" max="257" width="4.15234375" style="2" customWidth="1"/>
  </cols>
  <sheetData>
    <row r="1" spans="1:257" ht="35.549999999999997" customHeight="1">
      <c r="A1" s="109" t="s">
        <v>68</v>
      </c>
      <c r="B1" s="110"/>
      <c r="C1" s="110"/>
      <c r="D1" s="110"/>
      <c r="E1" s="110"/>
      <c r="F1" s="110"/>
      <c r="G1" s="110"/>
      <c r="H1" s="111"/>
      <c r="I1" s="110"/>
      <c r="J1" s="110"/>
    </row>
    <row r="2" spans="1:257" s="1" customFormat="1" ht="34.049999999999997" customHeight="1">
      <c r="A2" s="107" t="s">
        <v>1</v>
      </c>
      <c r="B2" s="107" t="s">
        <v>2</v>
      </c>
      <c r="C2" s="107" t="s">
        <v>3</v>
      </c>
      <c r="D2" s="107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4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</row>
    <row r="3" spans="1:257" s="1" customFormat="1" ht="34.049999999999997" customHeight="1">
      <c r="A3" s="108"/>
      <c r="B3" s="108"/>
      <c r="C3" s="108"/>
      <c r="D3" s="108"/>
      <c r="E3" s="102" t="s">
        <v>63</v>
      </c>
      <c r="F3" s="102" t="s">
        <v>64</v>
      </c>
      <c r="G3" s="102" t="s">
        <v>65</v>
      </c>
      <c r="H3" s="102" t="s">
        <v>205</v>
      </c>
      <c r="I3" s="102" t="s">
        <v>66</v>
      </c>
      <c r="J3" s="46" t="s">
        <v>5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</row>
    <row r="4" spans="1:257" ht="16.95" customHeight="1">
      <c r="A4" s="48">
        <v>1</v>
      </c>
      <c r="B4" s="74" t="s">
        <v>91</v>
      </c>
      <c r="C4" s="89" t="s">
        <v>62</v>
      </c>
      <c r="D4" s="89" t="s">
        <v>84</v>
      </c>
      <c r="E4" s="63">
        <v>100</v>
      </c>
      <c r="F4" s="29">
        <v>70</v>
      </c>
      <c r="G4" s="42">
        <v>85</v>
      </c>
      <c r="H4" s="63"/>
      <c r="I4" s="29"/>
      <c r="J4" s="47">
        <f>SUM(E4:I4)</f>
        <v>255</v>
      </c>
      <c r="L4" s="13"/>
      <c r="M4" s="13"/>
    </row>
    <row r="5" spans="1:257" ht="16.95" customHeight="1">
      <c r="A5" s="48">
        <v>2</v>
      </c>
      <c r="B5" s="75" t="s">
        <v>78</v>
      </c>
      <c r="C5" s="89" t="s">
        <v>14</v>
      </c>
      <c r="D5" s="89" t="s">
        <v>79</v>
      </c>
      <c r="E5" s="63">
        <v>70</v>
      </c>
      <c r="F5" s="29">
        <v>100</v>
      </c>
      <c r="G5" s="42">
        <v>70</v>
      </c>
      <c r="H5" s="63"/>
      <c r="I5" s="29"/>
      <c r="J5" s="47">
        <f>SUM(E5:I5)</f>
        <v>240</v>
      </c>
      <c r="L5" s="13"/>
      <c r="M5" s="13"/>
    </row>
    <row r="6" spans="1:257" ht="16.95" customHeight="1">
      <c r="A6" s="48">
        <v>3</v>
      </c>
      <c r="B6" s="74" t="s">
        <v>85</v>
      </c>
      <c r="C6" s="89" t="s">
        <v>8</v>
      </c>
      <c r="D6" s="89" t="s">
        <v>82</v>
      </c>
      <c r="E6" s="63">
        <v>55</v>
      </c>
      <c r="F6" s="29">
        <v>85</v>
      </c>
      <c r="G6" s="42">
        <v>100</v>
      </c>
      <c r="H6" s="63"/>
      <c r="I6" s="29"/>
      <c r="J6" s="47">
        <f>SUM(E6:I6)</f>
        <v>240</v>
      </c>
      <c r="M6" s="14"/>
    </row>
    <row r="7" spans="1:257" ht="16.95" customHeight="1">
      <c r="A7" s="48">
        <v>4</v>
      </c>
      <c r="B7" s="74" t="s">
        <v>89</v>
      </c>
      <c r="C7" s="89" t="s">
        <v>10</v>
      </c>
      <c r="D7" s="89" t="s">
        <v>87</v>
      </c>
      <c r="E7" s="63">
        <v>85</v>
      </c>
      <c r="F7" s="29">
        <v>60</v>
      </c>
      <c r="G7" s="42">
        <v>60</v>
      </c>
      <c r="H7" s="63"/>
      <c r="I7" s="29"/>
      <c r="J7" s="47">
        <f>SUM(E7:I7)</f>
        <v>205</v>
      </c>
    </row>
    <row r="8" spans="1:257" ht="16.95" customHeight="1">
      <c r="A8" s="48">
        <v>5</v>
      </c>
      <c r="B8" s="75" t="s">
        <v>83</v>
      </c>
      <c r="C8" s="89" t="s">
        <v>47</v>
      </c>
      <c r="D8" s="89" t="s">
        <v>84</v>
      </c>
      <c r="E8" s="63">
        <v>60</v>
      </c>
      <c r="F8" s="29">
        <v>50</v>
      </c>
      <c r="G8" s="42">
        <v>45</v>
      </c>
      <c r="H8" s="63"/>
      <c r="I8" s="29"/>
      <c r="J8" s="47">
        <f>SUM(E8:I8)</f>
        <v>155</v>
      </c>
      <c r="L8" s="13"/>
      <c r="M8" s="13"/>
    </row>
    <row r="9" spans="1:257" ht="16.95" customHeight="1">
      <c r="A9" s="48">
        <v>6</v>
      </c>
      <c r="B9" s="74" t="s">
        <v>88</v>
      </c>
      <c r="C9" s="89" t="s">
        <v>11</v>
      </c>
      <c r="D9" s="89" t="s">
        <v>87</v>
      </c>
      <c r="E9" s="63">
        <v>40</v>
      </c>
      <c r="F9" s="29">
        <v>45</v>
      </c>
      <c r="G9" s="42">
        <v>55</v>
      </c>
      <c r="H9" s="63"/>
      <c r="I9" s="29"/>
      <c r="J9" s="47">
        <f>SUM(E9:I9)</f>
        <v>140</v>
      </c>
      <c r="L9" s="13"/>
      <c r="M9" s="13"/>
    </row>
    <row r="10" spans="1:257" ht="16.95" customHeight="1">
      <c r="A10" s="48">
        <v>7</v>
      </c>
      <c r="B10" s="74" t="s">
        <v>80</v>
      </c>
      <c r="C10" s="89" t="s">
        <v>11</v>
      </c>
      <c r="D10" s="89" t="s">
        <v>79</v>
      </c>
      <c r="E10" s="63">
        <v>45</v>
      </c>
      <c r="F10" s="29">
        <v>25</v>
      </c>
      <c r="G10" s="42">
        <v>50</v>
      </c>
      <c r="H10" s="63"/>
      <c r="I10" s="29"/>
      <c r="J10" s="47">
        <f>SUM(E10:I10)</f>
        <v>120</v>
      </c>
      <c r="L10" s="13"/>
      <c r="M10" s="13"/>
    </row>
    <row r="11" spans="1:257" ht="15.75" customHeight="1">
      <c r="A11" s="48">
        <v>8</v>
      </c>
      <c r="B11" s="74" t="s">
        <v>90</v>
      </c>
      <c r="C11" s="89" t="s">
        <v>9</v>
      </c>
      <c r="D11" s="89" t="s">
        <v>79</v>
      </c>
      <c r="E11" s="63">
        <v>50</v>
      </c>
      <c r="F11" s="29">
        <v>40</v>
      </c>
      <c r="G11" s="42"/>
      <c r="H11" s="63"/>
      <c r="I11" s="29"/>
      <c r="J11" s="47">
        <f>SUM(E11:I11)</f>
        <v>90</v>
      </c>
      <c r="L11" s="13"/>
      <c r="M11" s="14"/>
    </row>
    <row r="12" spans="1:257" ht="16.95" customHeight="1">
      <c r="A12" s="48">
        <v>9</v>
      </c>
      <c r="B12" s="74" t="s">
        <v>81</v>
      </c>
      <c r="C12" s="89" t="s">
        <v>20</v>
      </c>
      <c r="D12" s="89" t="s">
        <v>82</v>
      </c>
      <c r="E12" s="63">
        <v>35</v>
      </c>
      <c r="F12" s="29">
        <v>55</v>
      </c>
      <c r="G12" s="42"/>
      <c r="H12" s="63"/>
      <c r="I12" s="29"/>
      <c r="J12" s="47">
        <f>SUM(E12:I12)</f>
        <v>90</v>
      </c>
      <c r="L12" s="13"/>
      <c r="M12" s="13"/>
    </row>
    <row r="13" spans="1:257" ht="16.95" customHeight="1">
      <c r="A13" s="48">
        <v>10</v>
      </c>
      <c r="B13" s="74" t="s">
        <v>189</v>
      </c>
      <c r="C13" s="89" t="s">
        <v>11</v>
      </c>
      <c r="D13" s="89" t="s">
        <v>79</v>
      </c>
      <c r="E13" s="63">
        <v>30</v>
      </c>
      <c r="F13" s="29">
        <v>22</v>
      </c>
      <c r="G13" s="42"/>
      <c r="H13" s="63"/>
      <c r="I13" s="29"/>
      <c r="J13" s="47">
        <f>SUM(E13:I13)</f>
        <v>52</v>
      </c>
      <c r="L13" s="13"/>
      <c r="M13" s="13"/>
    </row>
    <row r="14" spans="1:257" ht="16.95" customHeight="1">
      <c r="A14" s="48">
        <v>11</v>
      </c>
      <c r="B14" s="75" t="s">
        <v>86</v>
      </c>
      <c r="C14" s="89" t="s">
        <v>11</v>
      </c>
      <c r="D14" s="89" t="s">
        <v>87</v>
      </c>
      <c r="E14" s="63"/>
      <c r="F14" s="42">
        <v>35</v>
      </c>
      <c r="G14" s="42"/>
      <c r="H14" s="42"/>
      <c r="I14" s="42"/>
      <c r="J14" s="47">
        <f>SUM(E14:I14)</f>
        <v>35</v>
      </c>
      <c r="L14" s="13"/>
      <c r="M14" s="13"/>
    </row>
    <row r="15" spans="1:257" ht="16.95" customHeight="1">
      <c r="A15" s="48">
        <v>12</v>
      </c>
      <c r="B15" s="75" t="s">
        <v>186</v>
      </c>
      <c r="C15" s="89" t="s">
        <v>16</v>
      </c>
      <c r="D15" s="89" t="s">
        <v>82</v>
      </c>
      <c r="E15" s="63"/>
      <c r="F15" s="42">
        <v>30</v>
      </c>
      <c r="G15" s="42"/>
      <c r="H15" s="42"/>
      <c r="I15" s="42"/>
      <c r="J15" s="47">
        <f>SUM(E15:I15)</f>
        <v>30</v>
      </c>
    </row>
    <row r="16" spans="1:257" ht="16.95" customHeight="1">
      <c r="A16" s="48">
        <v>13</v>
      </c>
      <c r="B16" s="74"/>
      <c r="C16" s="89"/>
      <c r="D16" s="89"/>
      <c r="E16" s="63"/>
      <c r="F16" s="42"/>
      <c r="G16" s="42"/>
      <c r="H16" s="42"/>
      <c r="I16" s="42"/>
      <c r="J16" s="47">
        <f t="shared" ref="J16:J17" si="0">SUM(E16:I16)</f>
        <v>0</v>
      </c>
    </row>
    <row r="17" spans="1:10" ht="16.95" customHeight="1">
      <c r="A17" s="48">
        <v>14</v>
      </c>
      <c r="B17" s="74"/>
      <c r="C17" s="89"/>
      <c r="D17" s="89"/>
      <c r="E17" s="63"/>
      <c r="F17" s="42"/>
      <c r="G17" s="42"/>
      <c r="H17" s="42"/>
      <c r="I17" s="42"/>
      <c r="J17" s="47">
        <f t="shared" si="0"/>
        <v>0</v>
      </c>
    </row>
    <row r="18" spans="1:10" ht="16.95" customHeight="1">
      <c r="A18" s="48">
        <v>15</v>
      </c>
      <c r="B18" s="75"/>
      <c r="C18" s="89"/>
      <c r="D18" s="89"/>
      <c r="E18" s="63"/>
      <c r="F18" s="42"/>
      <c r="G18" s="42"/>
      <c r="H18" s="42"/>
      <c r="I18" s="42"/>
      <c r="J18" s="47">
        <f t="shared" ref="J18:J29" si="1">SUM(E18:I18)</f>
        <v>0</v>
      </c>
    </row>
    <row r="19" spans="1:10" ht="16.95" customHeight="1">
      <c r="A19" s="48">
        <v>16</v>
      </c>
      <c r="B19" s="74"/>
      <c r="C19" s="89"/>
      <c r="D19" s="89"/>
      <c r="E19" s="63"/>
      <c r="F19" s="42"/>
      <c r="G19" s="42"/>
      <c r="H19" s="42"/>
      <c r="I19" s="42"/>
      <c r="J19" s="47">
        <f t="shared" si="1"/>
        <v>0</v>
      </c>
    </row>
    <row r="20" spans="1:10" ht="16.95" customHeight="1">
      <c r="A20" s="48">
        <v>17</v>
      </c>
      <c r="B20" s="74"/>
      <c r="C20" s="89"/>
      <c r="D20" s="89"/>
      <c r="E20" s="63"/>
      <c r="F20" s="42"/>
      <c r="G20" s="42"/>
      <c r="H20" s="42"/>
      <c r="I20" s="42"/>
      <c r="J20" s="47">
        <f t="shared" si="1"/>
        <v>0</v>
      </c>
    </row>
    <row r="21" spans="1:10" ht="16.95" customHeight="1">
      <c r="A21" s="48">
        <v>18</v>
      </c>
      <c r="B21" s="74"/>
      <c r="C21" s="89"/>
      <c r="D21" s="89"/>
      <c r="E21" s="63"/>
      <c r="F21" s="42"/>
      <c r="G21" s="42"/>
      <c r="H21" s="42"/>
      <c r="I21" s="42"/>
      <c r="J21" s="47">
        <f t="shared" si="1"/>
        <v>0</v>
      </c>
    </row>
    <row r="22" spans="1:10" ht="16.95" customHeight="1">
      <c r="A22" s="48">
        <v>19</v>
      </c>
      <c r="B22" s="74"/>
      <c r="C22" s="89"/>
      <c r="D22" s="89"/>
      <c r="E22" s="63"/>
      <c r="F22" s="42"/>
      <c r="G22" s="42"/>
      <c r="H22" s="42"/>
      <c r="I22" s="42"/>
      <c r="J22" s="47">
        <f t="shared" si="1"/>
        <v>0</v>
      </c>
    </row>
    <row r="23" spans="1:10" ht="16.95" customHeight="1">
      <c r="A23" s="48">
        <v>20</v>
      </c>
      <c r="B23" s="74"/>
      <c r="C23" s="89"/>
      <c r="D23" s="89"/>
      <c r="E23" s="63"/>
      <c r="F23" s="42"/>
      <c r="G23" s="42"/>
      <c r="H23" s="42"/>
      <c r="I23" s="42"/>
      <c r="J23" s="47">
        <f t="shared" si="1"/>
        <v>0</v>
      </c>
    </row>
    <row r="24" spans="1:10" ht="16.95" customHeight="1">
      <c r="A24" s="48">
        <v>21</v>
      </c>
      <c r="B24" s="74"/>
      <c r="C24" s="89"/>
      <c r="D24" s="89"/>
      <c r="E24" s="63"/>
      <c r="F24" s="42"/>
      <c r="G24" s="42"/>
      <c r="H24" s="42"/>
      <c r="I24" s="42"/>
      <c r="J24" s="47">
        <f t="shared" si="1"/>
        <v>0</v>
      </c>
    </row>
    <row r="25" spans="1:10" ht="16.95" customHeight="1">
      <c r="A25" s="48">
        <v>22</v>
      </c>
      <c r="B25" s="74"/>
      <c r="C25" s="89"/>
      <c r="D25" s="89"/>
      <c r="E25" s="63"/>
      <c r="F25" s="42"/>
      <c r="G25" s="42"/>
      <c r="H25" s="42"/>
      <c r="I25" s="42"/>
      <c r="J25" s="47">
        <f t="shared" si="1"/>
        <v>0</v>
      </c>
    </row>
    <row r="26" spans="1:10" ht="16.95" customHeight="1">
      <c r="A26" s="48">
        <v>23</v>
      </c>
      <c r="B26" s="74"/>
      <c r="C26" s="89"/>
      <c r="D26" s="89"/>
      <c r="E26" s="63"/>
      <c r="F26" s="42"/>
      <c r="G26" s="42"/>
      <c r="H26" s="42"/>
      <c r="I26" s="42"/>
      <c r="J26" s="47">
        <f t="shared" si="1"/>
        <v>0</v>
      </c>
    </row>
    <row r="27" spans="1:10" ht="16.95" customHeight="1">
      <c r="A27" s="48">
        <v>24</v>
      </c>
      <c r="B27" s="75"/>
      <c r="C27" s="89"/>
      <c r="D27" s="89"/>
      <c r="E27" s="63"/>
      <c r="F27" s="42"/>
      <c r="G27" s="42"/>
      <c r="H27" s="42"/>
      <c r="I27" s="42"/>
      <c r="J27" s="47">
        <f t="shared" si="1"/>
        <v>0</v>
      </c>
    </row>
    <row r="28" spans="1:10" ht="16.95" customHeight="1">
      <c r="A28" s="48">
        <v>25</v>
      </c>
      <c r="B28" s="75"/>
      <c r="C28" s="89"/>
      <c r="D28" s="89"/>
      <c r="E28" s="63"/>
      <c r="F28" s="42"/>
      <c r="G28" s="42"/>
      <c r="H28" s="42"/>
      <c r="I28" s="42"/>
      <c r="J28" s="47">
        <f t="shared" si="1"/>
        <v>0</v>
      </c>
    </row>
    <row r="29" spans="1:10" ht="16.95" customHeight="1">
      <c r="A29" s="48">
        <v>26</v>
      </c>
      <c r="B29" s="69"/>
      <c r="C29" s="99"/>
      <c r="D29" s="99"/>
      <c r="E29" s="42"/>
      <c r="F29" s="42"/>
      <c r="G29" s="42"/>
      <c r="H29" s="42"/>
      <c r="I29" s="42"/>
      <c r="J29" s="47">
        <f t="shared" si="1"/>
        <v>0</v>
      </c>
    </row>
    <row r="30" spans="1:10" ht="16.95" customHeight="1">
      <c r="A30" s="48">
        <v>27</v>
      </c>
      <c r="B30" s="69"/>
      <c r="C30" s="99"/>
      <c r="D30" s="99"/>
      <c r="E30" s="42"/>
      <c r="F30" s="42"/>
      <c r="G30" s="42"/>
      <c r="H30" s="42"/>
      <c r="I30" s="42"/>
      <c r="J30" s="47">
        <f t="shared" ref="J30:J35" si="2">SUM(E30:I30)</f>
        <v>0</v>
      </c>
    </row>
    <row r="31" spans="1:10" ht="16.95" customHeight="1">
      <c r="A31" s="48">
        <v>28</v>
      </c>
      <c r="B31" s="70"/>
      <c r="C31" s="99"/>
      <c r="D31" s="99"/>
      <c r="E31" s="42"/>
      <c r="F31" s="42"/>
      <c r="G31" s="42"/>
      <c r="H31" s="42"/>
      <c r="I31" s="42"/>
      <c r="J31" s="47">
        <f t="shared" si="2"/>
        <v>0</v>
      </c>
    </row>
    <row r="32" spans="1:10" ht="16.95" customHeight="1">
      <c r="A32" s="48">
        <v>29</v>
      </c>
      <c r="B32" s="70"/>
      <c r="C32" s="99"/>
      <c r="D32" s="99"/>
      <c r="E32" s="42"/>
      <c r="F32" s="42"/>
      <c r="G32" s="42"/>
      <c r="H32" s="42"/>
      <c r="I32" s="42"/>
      <c r="J32" s="47">
        <f t="shared" si="2"/>
        <v>0</v>
      </c>
    </row>
    <row r="33" spans="1:10" ht="16.95" customHeight="1">
      <c r="A33" s="48">
        <v>30</v>
      </c>
      <c r="B33" s="69"/>
      <c r="C33" s="41"/>
      <c r="D33" s="41"/>
      <c r="E33" s="42"/>
      <c r="F33" s="42"/>
      <c r="G33" s="42"/>
      <c r="H33" s="42"/>
      <c r="I33" s="42"/>
      <c r="J33" s="47">
        <f t="shared" si="2"/>
        <v>0</v>
      </c>
    </row>
    <row r="34" spans="1:10" ht="16.95" customHeight="1">
      <c r="A34" s="48">
        <v>31</v>
      </c>
      <c r="B34" s="69"/>
      <c r="C34" s="41"/>
      <c r="D34" s="41"/>
      <c r="E34" s="42"/>
      <c r="F34" s="42"/>
      <c r="G34" s="42"/>
      <c r="H34" s="42"/>
      <c r="I34" s="42"/>
      <c r="J34" s="47">
        <f t="shared" si="2"/>
        <v>0</v>
      </c>
    </row>
    <row r="35" spans="1:10" ht="16.95" customHeight="1">
      <c r="A35" s="48">
        <v>32</v>
      </c>
      <c r="B35" s="70"/>
      <c r="C35" s="44"/>
      <c r="D35" s="44"/>
      <c r="E35" s="42"/>
      <c r="F35" s="42"/>
      <c r="G35" s="42"/>
      <c r="H35" s="42"/>
      <c r="I35" s="42"/>
      <c r="J35" s="47">
        <f t="shared" si="2"/>
        <v>0</v>
      </c>
    </row>
    <row r="36" spans="1:10" ht="16.95" customHeight="1">
      <c r="A36" s="48">
        <v>33</v>
      </c>
      <c r="B36" s="70"/>
      <c r="C36" s="44"/>
      <c r="D36" s="44"/>
      <c r="E36" s="42"/>
      <c r="F36" s="42"/>
      <c r="G36" s="42"/>
      <c r="H36" s="42"/>
      <c r="I36" s="42"/>
      <c r="J36" s="47">
        <f t="shared" ref="J36:J53" si="3">SUM(E36:I36)</f>
        <v>0</v>
      </c>
    </row>
    <row r="37" spans="1:10" ht="16.95" customHeight="1">
      <c r="A37" s="48">
        <v>34</v>
      </c>
      <c r="B37" s="69"/>
      <c r="C37" s="41"/>
      <c r="D37" s="41"/>
      <c r="E37" s="42"/>
      <c r="F37" s="42"/>
      <c r="G37" s="42"/>
      <c r="H37" s="42"/>
      <c r="I37" s="42"/>
      <c r="J37" s="47">
        <f t="shared" si="3"/>
        <v>0</v>
      </c>
    </row>
    <row r="38" spans="1:10" ht="16.95" customHeight="1">
      <c r="A38" s="48">
        <v>35</v>
      </c>
      <c r="B38" s="71"/>
      <c r="C38" s="44"/>
      <c r="D38" s="44"/>
      <c r="E38" s="42"/>
      <c r="F38" s="42"/>
      <c r="G38" s="42"/>
      <c r="H38" s="42"/>
      <c r="I38" s="42"/>
      <c r="J38" s="47">
        <f t="shared" si="3"/>
        <v>0</v>
      </c>
    </row>
    <row r="39" spans="1:10" ht="16.95" customHeight="1">
      <c r="A39" s="49">
        <v>36</v>
      </c>
      <c r="B39" s="71"/>
      <c r="C39" s="44"/>
      <c r="D39" s="44"/>
      <c r="E39" s="42"/>
      <c r="F39" s="42"/>
      <c r="G39" s="42"/>
      <c r="H39" s="42"/>
      <c r="I39" s="42"/>
      <c r="J39" s="47">
        <f t="shared" si="3"/>
        <v>0</v>
      </c>
    </row>
    <row r="40" spans="1:10" ht="16.95" customHeight="1">
      <c r="A40" s="49">
        <v>37</v>
      </c>
      <c r="B40" s="71"/>
      <c r="C40" s="44"/>
      <c r="D40" s="44"/>
      <c r="E40" s="42"/>
      <c r="F40" s="42"/>
      <c r="G40" s="42"/>
      <c r="H40" s="42"/>
      <c r="I40" s="42"/>
      <c r="J40" s="47">
        <f t="shared" si="3"/>
        <v>0</v>
      </c>
    </row>
    <row r="41" spans="1:10" ht="16.95" customHeight="1">
      <c r="A41" s="49">
        <v>38</v>
      </c>
      <c r="B41" s="71"/>
      <c r="C41" s="44"/>
      <c r="D41" s="44"/>
      <c r="E41" s="42"/>
      <c r="F41" s="42"/>
      <c r="G41" s="42"/>
      <c r="H41" s="42"/>
      <c r="I41" s="42"/>
      <c r="J41" s="47">
        <f t="shared" si="3"/>
        <v>0</v>
      </c>
    </row>
    <row r="42" spans="1:10" ht="16.95" customHeight="1">
      <c r="A42" s="49">
        <v>39</v>
      </c>
      <c r="B42" s="71"/>
      <c r="C42" s="44"/>
      <c r="D42" s="44"/>
      <c r="E42" s="42"/>
      <c r="F42" s="42"/>
      <c r="G42" s="42"/>
      <c r="H42" s="42"/>
      <c r="I42" s="42"/>
      <c r="J42" s="47">
        <f t="shared" si="3"/>
        <v>0</v>
      </c>
    </row>
    <row r="43" spans="1:10" ht="16.95" customHeight="1">
      <c r="A43" s="49">
        <v>40</v>
      </c>
      <c r="B43" s="71"/>
      <c r="C43" s="44"/>
      <c r="D43" s="44"/>
      <c r="E43" s="42"/>
      <c r="F43" s="42"/>
      <c r="G43" s="42"/>
      <c r="H43" s="42"/>
      <c r="I43" s="42"/>
      <c r="J43" s="47">
        <f t="shared" si="3"/>
        <v>0</v>
      </c>
    </row>
    <row r="44" spans="1:10" ht="16.95" customHeight="1">
      <c r="A44" s="49">
        <v>41</v>
      </c>
      <c r="B44" s="71"/>
      <c r="C44" s="44"/>
      <c r="D44" s="44"/>
      <c r="E44" s="42"/>
      <c r="F44" s="42"/>
      <c r="G44" s="42"/>
      <c r="H44" s="42"/>
      <c r="I44" s="42"/>
      <c r="J44" s="47">
        <f t="shared" si="3"/>
        <v>0</v>
      </c>
    </row>
    <row r="45" spans="1:10" ht="16.95" customHeight="1">
      <c r="A45" s="49">
        <v>42</v>
      </c>
      <c r="B45" s="71"/>
      <c r="C45" s="44"/>
      <c r="D45" s="44"/>
      <c r="E45" s="42"/>
      <c r="F45" s="42"/>
      <c r="G45" s="42"/>
      <c r="H45" s="42"/>
      <c r="I45" s="42"/>
      <c r="J45" s="47">
        <f t="shared" si="3"/>
        <v>0</v>
      </c>
    </row>
    <row r="46" spans="1:10" ht="16.95" customHeight="1">
      <c r="A46" s="49">
        <v>43</v>
      </c>
      <c r="B46" s="70"/>
      <c r="C46" s="44"/>
      <c r="D46" s="44"/>
      <c r="E46" s="42"/>
      <c r="F46" s="42"/>
      <c r="G46" s="42"/>
      <c r="H46" s="42"/>
      <c r="I46" s="42"/>
      <c r="J46" s="47">
        <f t="shared" si="3"/>
        <v>0</v>
      </c>
    </row>
    <row r="47" spans="1:10" ht="16.95" customHeight="1">
      <c r="A47" s="49">
        <v>44</v>
      </c>
      <c r="B47" s="70"/>
      <c r="C47" s="44"/>
      <c r="D47" s="44"/>
      <c r="E47" s="42"/>
      <c r="F47" s="42"/>
      <c r="G47" s="42"/>
      <c r="H47" s="42"/>
      <c r="I47" s="42"/>
      <c r="J47" s="47">
        <f t="shared" si="3"/>
        <v>0</v>
      </c>
    </row>
    <row r="48" spans="1:10" ht="16.95" customHeight="1">
      <c r="A48" s="49">
        <v>45</v>
      </c>
      <c r="B48" s="70"/>
      <c r="C48" s="44"/>
      <c r="D48" s="44"/>
      <c r="E48" s="42"/>
      <c r="F48" s="42"/>
      <c r="G48" s="42"/>
      <c r="H48" s="42"/>
      <c r="I48" s="42"/>
      <c r="J48" s="47">
        <f t="shared" si="3"/>
        <v>0</v>
      </c>
    </row>
    <row r="49" spans="1:10" ht="16.95" customHeight="1">
      <c r="A49" s="49">
        <v>46</v>
      </c>
      <c r="B49" s="70"/>
      <c r="C49" s="44"/>
      <c r="D49" s="44"/>
      <c r="E49" s="42"/>
      <c r="F49" s="42"/>
      <c r="G49" s="42"/>
      <c r="H49" s="42"/>
      <c r="I49" s="42"/>
      <c r="J49" s="47">
        <f t="shared" si="3"/>
        <v>0</v>
      </c>
    </row>
    <row r="50" spans="1:10" ht="16.95" customHeight="1">
      <c r="A50" s="49">
        <v>47</v>
      </c>
      <c r="B50" s="70"/>
      <c r="C50" s="44"/>
      <c r="D50" s="44"/>
      <c r="E50" s="42"/>
      <c r="F50" s="42"/>
      <c r="G50" s="42"/>
      <c r="H50" s="42"/>
      <c r="I50" s="42"/>
      <c r="J50" s="47">
        <f t="shared" si="3"/>
        <v>0</v>
      </c>
    </row>
    <row r="51" spans="1:10" ht="16.95" customHeight="1">
      <c r="A51" s="49">
        <v>48</v>
      </c>
      <c r="B51" s="70"/>
      <c r="C51" s="44"/>
      <c r="D51" s="44"/>
      <c r="E51" s="42"/>
      <c r="F51" s="42"/>
      <c r="G51" s="42"/>
      <c r="H51" s="42"/>
      <c r="I51" s="42"/>
      <c r="J51" s="47">
        <f t="shared" si="3"/>
        <v>0</v>
      </c>
    </row>
    <row r="52" spans="1:10" ht="16.95" customHeight="1">
      <c r="A52" s="49">
        <v>49</v>
      </c>
      <c r="B52" s="70"/>
      <c r="C52" s="44"/>
      <c r="D52" s="44"/>
      <c r="E52" s="42"/>
      <c r="F52" s="42"/>
      <c r="G52" s="42"/>
      <c r="H52" s="42"/>
      <c r="I52" s="42"/>
      <c r="J52" s="47">
        <f t="shared" si="3"/>
        <v>0</v>
      </c>
    </row>
    <row r="53" spans="1:10" ht="16.95" customHeight="1">
      <c r="A53" s="49">
        <v>50</v>
      </c>
      <c r="B53" s="70"/>
      <c r="C53" s="44"/>
      <c r="D53" s="44"/>
      <c r="E53" s="42"/>
      <c r="F53" s="42"/>
      <c r="G53" s="42"/>
      <c r="H53" s="42"/>
      <c r="I53" s="42"/>
      <c r="J53" s="47">
        <f t="shared" si="3"/>
        <v>0</v>
      </c>
    </row>
    <row r="54" spans="1:10" ht="13.5" customHeight="1">
      <c r="A54" s="45"/>
      <c r="B54" s="24"/>
      <c r="C54" s="24"/>
      <c r="D54" s="24"/>
      <c r="E54" s="25"/>
      <c r="F54" s="25"/>
      <c r="G54" s="25"/>
      <c r="H54" s="25"/>
      <c r="I54" s="25"/>
      <c r="J54" s="26"/>
    </row>
    <row r="55" spans="1:10" ht="13.5" customHeight="1">
      <c r="A55" s="45"/>
      <c r="B55" s="24"/>
      <c r="C55" s="24"/>
      <c r="D55" s="24"/>
      <c r="E55" s="25"/>
      <c r="F55" s="25"/>
      <c r="G55" s="25"/>
      <c r="H55" s="25"/>
      <c r="I55" s="25"/>
      <c r="J55" s="26"/>
    </row>
    <row r="56" spans="1:10" ht="13.5" customHeight="1">
      <c r="A56" s="45"/>
      <c r="B56" s="24"/>
      <c r="C56" s="24"/>
      <c r="D56" s="24"/>
      <c r="E56" s="25"/>
      <c r="F56" s="25"/>
      <c r="G56" s="25"/>
      <c r="H56" s="25"/>
      <c r="I56" s="25"/>
      <c r="J56" s="26"/>
    </row>
    <row r="57" spans="1:10" ht="13.5" customHeight="1">
      <c r="A57" s="45"/>
      <c r="B57" s="24"/>
      <c r="C57" s="24"/>
      <c r="D57" s="24"/>
      <c r="E57" s="25"/>
      <c r="F57" s="25"/>
      <c r="G57" s="25"/>
      <c r="H57" s="25"/>
      <c r="I57" s="25"/>
      <c r="J57" s="26"/>
    </row>
    <row r="58" spans="1:10" ht="13.5" customHeight="1">
      <c r="A58" s="45"/>
      <c r="B58" s="24"/>
      <c r="C58" s="24"/>
      <c r="D58" s="24"/>
      <c r="E58" s="25"/>
      <c r="F58" s="25"/>
      <c r="G58" s="25"/>
      <c r="H58" s="25"/>
      <c r="I58" s="25"/>
      <c r="J58" s="26"/>
    </row>
    <row r="59" spans="1:10" ht="13.5" customHeight="1">
      <c r="A59" s="45"/>
      <c r="B59" s="24"/>
      <c r="C59" s="24"/>
      <c r="D59" s="24"/>
      <c r="E59" s="25"/>
      <c r="F59" s="25"/>
      <c r="G59" s="25"/>
      <c r="H59" s="25"/>
      <c r="I59" s="25"/>
      <c r="J59" s="26"/>
    </row>
    <row r="60" spans="1:10" ht="13.5" customHeight="1">
      <c r="A60" s="45"/>
      <c r="B60" s="24"/>
      <c r="C60" s="24"/>
      <c r="D60" s="24"/>
      <c r="E60" s="25"/>
      <c r="F60" s="25"/>
      <c r="G60" s="25"/>
      <c r="H60" s="25"/>
      <c r="I60" s="25"/>
      <c r="J60" s="26"/>
    </row>
    <row r="61" spans="1:10" ht="13.5" customHeight="1">
      <c r="A61" s="45"/>
      <c r="B61" s="24"/>
      <c r="C61" s="24"/>
      <c r="D61" s="24"/>
      <c r="E61" s="25"/>
      <c r="F61" s="25"/>
      <c r="G61" s="25"/>
      <c r="H61" s="25"/>
      <c r="I61" s="25"/>
      <c r="J61" s="26"/>
    </row>
    <row r="62" spans="1:10" ht="13.5" customHeight="1">
      <c r="A62" s="45"/>
      <c r="B62" s="24"/>
      <c r="C62" s="24"/>
      <c r="D62" s="24"/>
      <c r="E62" s="24"/>
      <c r="F62" s="24"/>
      <c r="G62" s="24"/>
      <c r="H62" s="24"/>
      <c r="I62" s="24"/>
      <c r="J62" s="26"/>
    </row>
    <row r="63" spans="1:10" ht="13.5" customHeight="1">
      <c r="A63" s="45"/>
      <c r="B63" s="24"/>
      <c r="C63" s="24"/>
      <c r="D63" s="24"/>
      <c r="E63" s="24"/>
      <c r="F63" s="24"/>
      <c r="G63" s="24"/>
      <c r="H63" s="24"/>
      <c r="I63" s="24"/>
      <c r="J63" s="26"/>
    </row>
    <row r="64" spans="1:10" ht="13.5" customHeight="1">
      <c r="A64" s="45"/>
      <c r="B64" s="24"/>
      <c r="C64" s="24"/>
      <c r="D64" s="24"/>
      <c r="E64" s="24"/>
      <c r="F64" s="24"/>
      <c r="G64" s="24"/>
      <c r="H64" s="24"/>
      <c r="I64" s="24"/>
      <c r="J64" s="26"/>
    </row>
    <row r="65" spans="1:10" ht="13.5" customHeight="1">
      <c r="A65" s="45"/>
      <c r="B65" s="24"/>
      <c r="C65" s="24"/>
      <c r="D65" s="24"/>
      <c r="E65" s="24"/>
      <c r="F65" s="24"/>
      <c r="G65" s="24"/>
      <c r="H65" s="24"/>
      <c r="I65" s="24"/>
      <c r="J65" s="26"/>
    </row>
    <row r="66" spans="1:10" ht="13.5" customHeight="1">
      <c r="A66" s="45"/>
      <c r="B66" s="24"/>
      <c r="C66" s="24"/>
      <c r="D66" s="24"/>
      <c r="E66" s="24"/>
      <c r="F66" s="24"/>
      <c r="G66" s="24"/>
      <c r="H66" s="24"/>
      <c r="I66" s="24"/>
      <c r="J66" s="26"/>
    </row>
    <row r="67" spans="1:10" ht="13.5" customHeight="1">
      <c r="A67" s="45"/>
      <c r="B67" s="24"/>
      <c r="C67" s="24"/>
      <c r="D67" s="24"/>
      <c r="E67" s="24"/>
      <c r="F67" s="24"/>
      <c r="G67" s="24"/>
      <c r="H67" s="24"/>
      <c r="I67" s="24"/>
      <c r="J67" s="26"/>
    </row>
    <row r="68" spans="1:10" ht="13.5" customHeight="1">
      <c r="A68" s="45"/>
      <c r="B68" s="24"/>
      <c r="C68" s="24"/>
      <c r="D68" s="24"/>
      <c r="E68" s="24"/>
      <c r="F68" s="24"/>
      <c r="G68" s="24"/>
      <c r="H68" s="24"/>
      <c r="I68" s="24"/>
      <c r="J68" s="26"/>
    </row>
    <row r="69" spans="1:10" ht="13.5" customHeight="1">
      <c r="A69" s="45"/>
      <c r="B69" s="24"/>
      <c r="C69" s="24"/>
      <c r="D69" s="24"/>
      <c r="E69" s="25"/>
      <c r="F69" s="25"/>
      <c r="G69" s="25"/>
      <c r="H69" s="25"/>
      <c r="I69" s="25"/>
      <c r="J69" s="26"/>
    </row>
    <row r="70" spans="1:10" ht="13.5" customHeight="1">
      <c r="A70" s="45"/>
      <c r="B70" s="24"/>
      <c r="C70" s="24"/>
      <c r="D70" s="24"/>
      <c r="E70" s="25"/>
      <c r="F70" s="25"/>
      <c r="G70" s="25"/>
      <c r="H70" s="25"/>
      <c r="I70" s="25"/>
      <c r="J70" s="26"/>
    </row>
    <row r="71" spans="1:10" ht="13.5" customHeight="1">
      <c r="A71" s="45"/>
      <c r="B71" s="24"/>
      <c r="C71" s="24"/>
      <c r="D71" s="24"/>
      <c r="E71" s="25"/>
      <c r="F71" s="25"/>
      <c r="G71" s="25"/>
      <c r="H71" s="25"/>
      <c r="I71" s="25"/>
      <c r="J71" s="26"/>
    </row>
    <row r="72" spans="1:10" ht="13.5" customHeight="1">
      <c r="A72" s="45"/>
      <c r="B72" s="24"/>
      <c r="C72" s="24"/>
      <c r="D72" s="24"/>
      <c r="E72" s="25"/>
      <c r="F72" s="25"/>
      <c r="G72" s="25"/>
      <c r="H72" s="25"/>
      <c r="I72" s="25"/>
      <c r="J72" s="26"/>
    </row>
    <row r="73" spans="1:10" ht="13.5" customHeight="1">
      <c r="A73" s="45"/>
      <c r="B73" s="24"/>
      <c r="C73" s="24"/>
      <c r="D73" s="24"/>
      <c r="E73" s="25"/>
      <c r="F73" s="25"/>
      <c r="G73" s="25"/>
      <c r="H73" s="25"/>
      <c r="I73" s="25"/>
      <c r="J73" s="26"/>
    </row>
    <row r="74" spans="1:10" ht="13.5" customHeight="1">
      <c r="A74" s="45"/>
      <c r="B74" s="24"/>
      <c r="C74" s="24"/>
      <c r="D74" s="24"/>
      <c r="E74" s="25"/>
      <c r="F74" s="25"/>
      <c r="G74" s="25"/>
      <c r="H74" s="25"/>
      <c r="I74" s="25"/>
      <c r="J74" s="26"/>
    </row>
    <row r="75" spans="1:10" ht="13.5" customHeight="1">
      <c r="A75" s="45"/>
      <c r="B75" s="24"/>
      <c r="C75" s="24"/>
      <c r="D75" s="24"/>
      <c r="E75" s="25"/>
      <c r="F75" s="25"/>
      <c r="G75" s="25"/>
      <c r="H75" s="25"/>
      <c r="I75" s="25"/>
      <c r="J75" s="26"/>
    </row>
    <row r="76" spans="1:10" ht="13.5" customHeight="1">
      <c r="A76" s="45"/>
      <c r="B76" s="24"/>
      <c r="C76" s="24"/>
      <c r="D76" s="24"/>
      <c r="E76" s="25"/>
      <c r="F76" s="25"/>
      <c r="G76" s="25"/>
      <c r="H76" s="25"/>
      <c r="I76" s="25"/>
      <c r="J76" s="26"/>
    </row>
    <row r="77" spans="1:10" ht="13.5" customHeight="1">
      <c r="A77" s="45"/>
      <c r="B77" s="24"/>
      <c r="C77" s="24"/>
      <c r="D77" s="24"/>
      <c r="E77" s="25"/>
      <c r="F77" s="25"/>
      <c r="G77" s="25"/>
      <c r="H77" s="25"/>
      <c r="I77" s="25"/>
      <c r="J77" s="26"/>
    </row>
    <row r="78" spans="1:10" ht="13.5" customHeight="1">
      <c r="A78" s="45"/>
      <c r="B78" s="24"/>
      <c r="C78" s="24"/>
      <c r="D78" s="24"/>
      <c r="E78" s="25"/>
      <c r="F78" s="25"/>
      <c r="G78" s="25"/>
      <c r="H78" s="25"/>
      <c r="I78" s="25"/>
      <c r="J78" s="26"/>
    </row>
    <row r="79" spans="1:10" ht="13.5" customHeight="1">
      <c r="A79" s="45"/>
      <c r="B79" s="24"/>
      <c r="C79" s="24"/>
      <c r="D79" s="24"/>
      <c r="E79" s="25"/>
      <c r="F79" s="25"/>
      <c r="G79" s="25"/>
      <c r="H79" s="25"/>
      <c r="I79" s="25"/>
      <c r="J79" s="26"/>
    </row>
    <row r="80" spans="1:10" ht="13.5" customHeight="1">
      <c r="A80" s="45"/>
      <c r="B80" s="24"/>
      <c r="C80" s="24"/>
      <c r="D80" s="24"/>
      <c r="E80" s="24"/>
      <c r="F80" s="24"/>
      <c r="G80" s="24"/>
      <c r="H80" s="24"/>
      <c r="I80" s="24"/>
      <c r="J80" s="26"/>
    </row>
    <row r="81" spans="1:10" ht="13.5" customHeight="1">
      <c r="A81" s="45"/>
      <c r="B81" s="24"/>
      <c r="C81" s="24"/>
      <c r="D81" s="24"/>
      <c r="E81" s="24"/>
      <c r="F81" s="24"/>
      <c r="G81" s="24"/>
      <c r="H81" s="24"/>
      <c r="I81" s="24"/>
      <c r="J81" s="26"/>
    </row>
    <row r="82" spans="1:10" ht="13.5" customHeight="1">
      <c r="A82" s="45"/>
      <c r="B82" s="24"/>
      <c r="C82" s="24"/>
      <c r="D82" s="24"/>
      <c r="E82" s="24"/>
      <c r="F82" s="24"/>
      <c r="G82" s="24"/>
      <c r="H82" s="24"/>
      <c r="I82" s="24"/>
      <c r="J82" s="26"/>
    </row>
    <row r="83" spans="1:10" ht="13.5" customHeight="1">
      <c r="A83" s="45"/>
      <c r="B83" s="24"/>
      <c r="C83" s="24"/>
      <c r="D83" s="24"/>
      <c r="E83" s="24"/>
      <c r="F83" s="24"/>
      <c r="G83" s="24"/>
      <c r="H83" s="24"/>
      <c r="I83" s="24"/>
      <c r="J83" s="26"/>
    </row>
    <row r="84" spans="1:10" ht="13.5" customHeight="1">
      <c r="A84" s="45"/>
      <c r="B84" s="24"/>
      <c r="C84" s="24"/>
      <c r="D84" s="24"/>
      <c r="E84" s="24"/>
      <c r="F84" s="24"/>
      <c r="G84" s="24"/>
      <c r="H84" s="24"/>
      <c r="I84" s="24"/>
      <c r="J84" s="26"/>
    </row>
    <row r="85" spans="1:10" ht="13.5" customHeight="1">
      <c r="A85" s="45"/>
      <c r="B85" s="24"/>
      <c r="C85" s="24"/>
      <c r="D85" s="24"/>
      <c r="E85" s="24"/>
      <c r="F85" s="24"/>
      <c r="G85" s="24"/>
      <c r="H85" s="24"/>
      <c r="I85" s="24"/>
      <c r="J85" s="26"/>
    </row>
    <row r="86" spans="1:10" ht="13.5" customHeight="1">
      <c r="A86" s="45"/>
      <c r="B86" s="24"/>
      <c r="C86" s="24"/>
      <c r="D86" s="24"/>
      <c r="E86" s="24"/>
      <c r="F86" s="24"/>
      <c r="G86" s="24"/>
      <c r="H86" s="24"/>
      <c r="I86" s="24"/>
      <c r="J86" s="26"/>
    </row>
    <row r="87" spans="1:10" ht="13.5" customHeight="1">
      <c r="A87" s="45"/>
      <c r="B87" s="24"/>
      <c r="C87" s="24"/>
      <c r="D87" s="24"/>
      <c r="E87" s="24"/>
      <c r="F87" s="24"/>
      <c r="G87" s="24"/>
      <c r="H87" s="24"/>
      <c r="I87" s="24"/>
      <c r="J87" s="26"/>
    </row>
    <row r="88" spans="1:10" ht="13.5" customHeight="1">
      <c r="A88" s="45"/>
      <c r="B88" s="24"/>
      <c r="C88" s="24"/>
      <c r="D88" s="24"/>
      <c r="E88" s="24"/>
      <c r="F88" s="24"/>
      <c r="G88" s="24"/>
      <c r="H88" s="24"/>
      <c r="I88" s="24"/>
      <c r="J88" s="26"/>
    </row>
    <row r="89" spans="1:10" ht="13.5" customHeight="1">
      <c r="A89" s="45"/>
      <c r="B89" s="24"/>
      <c r="C89" s="24"/>
      <c r="D89" s="24"/>
      <c r="E89" s="24"/>
      <c r="F89" s="24"/>
      <c r="G89" s="24"/>
      <c r="H89" s="24"/>
      <c r="I89" s="24"/>
      <c r="J89" s="26"/>
    </row>
    <row r="90" spans="1:10" ht="13.5" customHeight="1">
      <c r="A90" s="23"/>
      <c r="B90" s="22"/>
      <c r="C90" s="22"/>
      <c r="D90" s="22"/>
      <c r="E90" s="22"/>
      <c r="F90" s="22"/>
      <c r="G90" s="22"/>
      <c r="H90" s="22"/>
      <c r="I90" s="22"/>
      <c r="J90" s="18"/>
    </row>
  </sheetData>
  <sheetProtection algorithmName="SHA-512" hashValue="AiEMx+4tD4awoOv7fTnQjiuBV95pLXlmQI9GxhFtx+jWHLWiuXCe8ibRp7hiuutC2ZFUGXrMvDPXvHigsYK42Q==" saltValue="WNWdg6QB1xWdSPOlWn/C8w==" spinCount="100000" sheet="1" formatColumns="0" selectLockedCells="1" sort="0"/>
  <sortState xmlns:xlrd2="http://schemas.microsoft.com/office/spreadsheetml/2017/richdata2" ref="B4:J15">
    <sortCondition descending="1" ref="J4:J15"/>
  </sortState>
  <mergeCells count="5">
    <mergeCell ref="D2:D3"/>
    <mergeCell ref="C2:C3"/>
    <mergeCell ref="B2:B3"/>
    <mergeCell ref="A2:A3"/>
    <mergeCell ref="A1:J1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W53"/>
  <sheetViews>
    <sheetView showGridLines="0" topLeftCell="A4" zoomScale="125" zoomScaleNormal="125" workbookViewId="0">
      <selection activeCell="B4" sqref="B4"/>
    </sheetView>
  </sheetViews>
  <sheetFormatPr defaultColWidth="4.15234375" defaultRowHeight="13.5" customHeight="1"/>
  <cols>
    <col min="1" max="1" width="4.152343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6" width="9.69140625" style="13" customWidth="1"/>
    <col min="7" max="8" width="10.15234375" style="13" customWidth="1"/>
    <col min="9" max="9" width="9.61328125" style="13" customWidth="1"/>
    <col min="10" max="10" width="5.23046875" style="13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71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205</v>
      </c>
      <c r="I3" s="104" t="s">
        <v>66</v>
      </c>
      <c r="J3" s="57" t="s">
        <v>5</v>
      </c>
    </row>
    <row r="4" spans="1:13" ht="16.95" customHeight="1">
      <c r="A4" s="58">
        <v>1</v>
      </c>
      <c r="B4" s="74" t="s">
        <v>137</v>
      </c>
      <c r="C4" s="89" t="s">
        <v>16</v>
      </c>
      <c r="D4" s="89" t="s">
        <v>84</v>
      </c>
      <c r="E4" s="63">
        <v>100</v>
      </c>
      <c r="F4" s="29">
        <v>100</v>
      </c>
      <c r="G4" s="42">
        <v>85</v>
      </c>
      <c r="H4" s="63"/>
      <c r="I4" s="29"/>
      <c r="J4" s="52">
        <f t="shared" ref="J4:J18" si="0">SUM(E4:I4)</f>
        <v>285</v>
      </c>
    </row>
    <row r="5" spans="1:13" ht="16.95" customHeight="1">
      <c r="A5" s="58">
        <v>2</v>
      </c>
      <c r="B5" s="74" t="s">
        <v>124</v>
      </c>
      <c r="C5" s="89" t="s">
        <v>14</v>
      </c>
      <c r="D5" s="89" t="s">
        <v>102</v>
      </c>
      <c r="E5" s="63">
        <v>70</v>
      </c>
      <c r="F5" s="29">
        <v>85</v>
      </c>
      <c r="G5" s="42">
        <v>100</v>
      </c>
      <c r="H5" s="63"/>
      <c r="I5" s="29"/>
      <c r="J5" s="52">
        <f t="shared" si="0"/>
        <v>255</v>
      </c>
    </row>
    <row r="6" spans="1:13" ht="16.95" customHeight="1">
      <c r="A6" s="58">
        <v>3</v>
      </c>
      <c r="B6" s="74" t="s">
        <v>136</v>
      </c>
      <c r="C6" s="89" t="s">
        <v>11</v>
      </c>
      <c r="D6" s="89" t="s">
        <v>87</v>
      </c>
      <c r="E6" s="63">
        <v>60</v>
      </c>
      <c r="F6" s="29">
        <v>70</v>
      </c>
      <c r="G6" s="42">
        <v>55</v>
      </c>
      <c r="H6" s="63"/>
      <c r="I6" s="29"/>
      <c r="J6" s="52">
        <f t="shared" si="0"/>
        <v>185</v>
      </c>
      <c r="M6" s="14"/>
    </row>
    <row r="7" spans="1:13" ht="16.95" customHeight="1">
      <c r="A7" s="58">
        <v>4</v>
      </c>
      <c r="B7" s="74" t="s">
        <v>129</v>
      </c>
      <c r="C7" s="89" t="s">
        <v>14</v>
      </c>
      <c r="D7" s="89" t="s">
        <v>79</v>
      </c>
      <c r="E7" s="63">
        <v>85</v>
      </c>
      <c r="F7" s="29">
        <v>40</v>
      </c>
      <c r="G7" s="42">
        <v>60</v>
      </c>
      <c r="H7" s="63"/>
      <c r="I7" s="29"/>
      <c r="J7" s="52">
        <f t="shared" si="0"/>
        <v>185</v>
      </c>
    </row>
    <row r="8" spans="1:13" ht="16.95" customHeight="1">
      <c r="A8" s="58">
        <v>5</v>
      </c>
      <c r="B8" s="74" t="s">
        <v>132</v>
      </c>
      <c r="C8" s="89" t="s">
        <v>16</v>
      </c>
      <c r="D8" s="89" t="s">
        <v>87</v>
      </c>
      <c r="E8" s="63">
        <v>50</v>
      </c>
      <c r="F8" s="29">
        <v>55</v>
      </c>
      <c r="G8" s="42">
        <v>50</v>
      </c>
      <c r="H8" s="63"/>
      <c r="I8" s="29"/>
      <c r="J8" s="52">
        <f t="shared" si="0"/>
        <v>155</v>
      </c>
    </row>
    <row r="9" spans="1:13" ht="16.95" customHeight="1">
      <c r="A9" s="58">
        <v>6</v>
      </c>
      <c r="B9" s="74" t="s">
        <v>169</v>
      </c>
      <c r="C9" s="89" t="s">
        <v>9</v>
      </c>
      <c r="D9" s="89" t="s">
        <v>79</v>
      </c>
      <c r="E9" s="63"/>
      <c r="F9" s="29">
        <v>60</v>
      </c>
      <c r="G9" s="42">
        <v>70</v>
      </c>
      <c r="H9" s="63"/>
      <c r="I9" s="29"/>
      <c r="J9" s="52">
        <f t="shared" si="0"/>
        <v>130</v>
      </c>
    </row>
    <row r="10" spans="1:13" ht="16.95" customHeight="1">
      <c r="A10" s="58">
        <v>7</v>
      </c>
      <c r="B10" s="74" t="s">
        <v>131</v>
      </c>
      <c r="C10" s="89" t="s">
        <v>11</v>
      </c>
      <c r="D10" s="89" t="s">
        <v>102</v>
      </c>
      <c r="E10" s="63">
        <v>55</v>
      </c>
      <c r="F10" s="29">
        <v>50</v>
      </c>
      <c r="G10" s="42"/>
      <c r="H10" s="63"/>
      <c r="I10" s="29"/>
      <c r="J10" s="52">
        <f t="shared" si="0"/>
        <v>105</v>
      </c>
    </row>
    <row r="11" spans="1:13" ht="16.95" customHeight="1">
      <c r="A11" s="58">
        <v>8</v>
      </c>
      <c r="B11" s="74" t="s">
        <v>135</v>
      </c>
      <c r="C11" s="89" t="s">
        <v>22</v>
      </c>
      <c r="D11" s="89" t="s">
        <v>102</v>
      </c>
      <c r="E11" s="63">
        <v>45</v>
      </c>
      <c r="F11" s="29">
        <v>30</v>
      </c>
      <c r="G11" s="42"/>
      <c r="H11" s="63"/>
      <c r="I11" s="29"/>
      <c r="J11" s="52">
        <f t="shared" si="0"/>
        <v>75</v>
      </c>
      <c r="M11" s="14"/>
    </row>
    <row r="12" spans="1:13" ht="16.95" customHeight="1">
      <c r="A12" s="58">
        <v>9</v>
      </c>
      <c r="B12" s="74" t="s">
        <v>172</v>
      </c>
      <c r="C12" s="89" t="s">
        <v>11</v>
      </c>
      <c r="D12" s="89" t="s">
        <v>102</v>
      </c>
      <c r="E12" s="63"/>
      <c r="F12" s="29">
        <v>25</v>
      </c>
      <c r="G12" s="42">
        <v>45</v>
      </c>
      <c r="H12" s="63"/>
      <c r="I12" s="29"/>
      <c r="J12" s="52">
        <f t="shared" si="0"/>
        <v>70</v>
      </c>
    </row>
    <row r="13" spans="1:13" ht="16.95" customHeight="1">
      <c r="A13" s="58">
        <v>10</v>
      </c>
      <c r="B13" s="74" t="s">
        <v>130</v>
      </c>
      <c r="C13" s="89" t="s">
        <v>23</v>
      </c>
      <c r="D13" s="89" t="s">
        <v>82</v>
      </c>
      <c r="E13" s="63">
        <v>40</v>
      </c>
      <c r="F13" s="29">
        <v>22</v>
      </c>
      <c r="G13" s="42"/>
      <c r="H13" s="63"/>
      <c r="I13" s="29"/>
      <c r="J13" s="52">
        <f t="shared" si="0"/>
        <v>62</v>
      </c>
    </row>
    <row r="14" spans="1:13" ht="16.95" customHeight="1">
      <c r="A14" s="58">
        <v>11</v>
      </c>
      <c r="B14" s="74" t="s">
        <v>134</v>
      </c>
      <c r="C14" s="89" t="s">
        <v>11</v>
      </c>
      <c r="D14" s="89" t="s">
        <v>79</v>
      </c>
      <c r="E14" s="63">
        <v>35</v>
      </c>
      <c r="F14" s="29">
        <v>18</v>
      </c>
      <c r="G14" s="42"/>
      <c r="H14" s="63"/>
      <c r="I14" s="29"/>
      <c r="J14" s="52">
        <f t="shared" si="0"/>
        <v>53</v>
      </c>
    </row>
    <row r="15" spans="1:13" ht="16.95" customHeight="1">
      <c r="A15" s="58">
        <v>12</v>
      </c>
      <c r="B15" s="74" t="s">
        <v>170</v>
      </c>
      <c r="C15" s="89" t="s">
        <v>11</v>
      </c>
      <c r="D15" s="89" t="s">
        <v>102</v>
      </c>
      <c r="E15" s="63"/>
      <c r="F15" s="29">
        <v>45</v>
      </c>
      <c r="G15" s="42"/>
      <c r="H15" s="63"/>
      <c r="I15" s="29"/>
      <c r="J15" s="52">
        <f t="shared" si="0"/>
        <v>45</v>
      </c>
    </row>
    <row r="16" spans="1:13" ht="16.95" customHeight="1">
      <c r="A16" s="58">
        <v>13</v>
      </c>
      <c r="B16" s="74" t="s">
        <v>171</v>
      </c>
      <c r="C16" s="89" t="s">
        <v>10</v>
      </c>
      <c r="D16" s="89" t="s">
        <v>84</v>
      </c>
      <c r="E16" s="63"/>
      <c r="F16" s="29">
        <v>35</v>
      </c>
      <c r="G16" s="42"/>
      <c r="H16" s="63"/>
      <c r="I16" s="29"/>
      <c r="J16" s="52">
        <f t="shared" si="0"/>
        <v>35</v>
      </c>
    </row>
    <row r="17" spans="1:10" ht="16.95" customHeight="1">
      <c r="A17" s="58">
        <v>14</v>
      </c>
      <c r="B17" s="74" t="s">
        <v>173</v>
      </c>
      <c r="C17" s="89" t="s">
        <v>16</v>
      </c>
      <c r="D17" s="89" t="s">
        <v>174</v>
      </c>
      <c r="E17" s="63"/>
      <c r="F17" s="29">
        <v>20</v>
      </c>
      <c r="G17" s="42"/>
      <c r="H17" s="63"/>
      <c r="I17" s="29"/>
      <c r="J17" s="52">
        <f t="shared" si="0"/>
        <v>20</v>
      </c>
    </row>
    <row r="18" spans="1:10" ht="16.95" customHeight="1">
      <c r="A18" s="58">
        <v>15</v>
      </c>
      <c r="B18" s="74" t="s">
        <v>175</v>
      </c>
      <c r="C18" s="89" t="s">
        <v>17</v>
      </c>
      <c r="D18" s="89" t="s">
        <v>84</v>
      </c>
      <c r="E18" s="63"/>
      <c r="F18" s="29">
        <v>16</v>
      </c>
      <c r="G18" s="42"/>
      <c r="H18" s="63"/>
      <c r="I18" s="29"/>
      <c r="J18" s="52">
        <f t="shared" si="0"/>
        <v>16</v>
      </c>
    </row>
    <row r="19" spans="1:10" ht="16.95" customHeight="1">
      <c r="A19" s="58">
        <v>16</v>
      </c>
      <c r="B19" s="74"/>
      <c r="C19" s="89"/>
      <c r="D19" s="89"/>
      <c r="E19" s="63"/>
      <c r="F19" s="29"/>
      <c r="G19" s="42"/>
      <c r="H19" s="63"/>
      <c r="I19" s="29"/>
      <c r="J19" s="52">
        <f t="shared" ref="J19:J21" si="1">SUM(E19:I19)</f>
        <v>0</v>
      </c>
    </row>
    <row r="20" spans="1:10" ht="16.95" customHeight="1">
      <c r="A20" s="58">
        <v>17</v>
      </c>
      <c r="B20" s="77"/>
      <c r="C20" s="96"/>
      <c r="D20" s="96"/>
      <c r="E20" s="29"/>
      <c r="F20" s="29"/>
      <c r="G20" s="42"/>
      <c r="H20" s="63"/>
      <c r="I20" s="29"/>
      <c r="J20" s="52">
        <f t="shared" si="1"/>
        <v>0</v>
      </c>
    </row>
    <row r="21" spans="1:10" ht="16.95" customHeight="1">
      <c r="A21" s="58">
        <v>18</v>
      </c>
      <c r="B21" s="77"/>
      <c r="C21" s="96"/>
      <c r="D21" s="96"/>
      <c r="E21" s="29"/>
      <c r="F21" s="29"/>
      <c r="G21" s="42"/>
      <c r="H21" s="63"/>
      <c r="I21" s="29"/>
      <c r="J21" s="52">
        <f t="shared" si="1"/>
        <v>0</v>
      </c>
    </row>
    <row r="22" spans="1:10" ht="16.95" customHeight="1">
      <c r="A22" s="58">
        <v>19</v>
      </c>
      <c r="B22" s="77"/>
      <c r="C22" s="32"/>
      <c r="D22" s="32"/>
      <c r="E22" s="29"/>
      <c r="F22" s="29"/>
      <c r="G22" s="42"/>
      <c r="H22" s="63"/>
      <c r="I22" s="29"/>
      <c r="J22" s="52">
        <f t="shared" ref="J22:J27" si="2">SUM(E22:I22)</f>
        <v>0</v>
      </c>
    </row>
    <row r="23" spans="1:10" ht="16.95" customHeight="1">
      <c r="A23" s="58">
        <v>20</v>
      </c>
      <c r="B23" s="77"/>
      <c r="C23" s="32"/>
      <c r="D23" s="32"/>
      <c r="E23" s="29"/>
      <c r="F23" s="29"/>
      <c r="G23" s="42"/>
      <c r="H23" s="63"/>
      <c r="I23" s="29"/>
      <c r="J23" s="52">
        <f t="shared" si="2"/>
        <v>0</v>
      </c>
    </row>
    <row r="24" spans="1:10" ht="16.95" customHeight="1">
      <c r="A24" s="58">
        <v>21</v>
      </c>
      <c r="B24" s="77"/>
      <c r="C24" s="32"/>
      <c r="D24" s="32"/>
      <c r="E24" s="29"/>
      <c r="F24" s="29"/>
      <c r="G24" s="42"/>
      <c r="H24" s="63"/>
      <c r="I24" s="29"/>
      <c r="J24" s="52">
        <f t="shared" si="2"/>
        <v>0</v>
      </c>
    </row>
    <row r="25" spans="1:10" ht="16.95" customHeight="1">
      <c r="A25" s="58">
        <v>22</v>
      </c>
      <c r="B25" s="77"/>
      <c r="C25" s="32"/>
      <c r="D25" s="32"/>
      <c r="E25" s="29"/>
      <c r="F25" s="29"/>
      <c r="G25" s="42"/>
      <c r="H25" s="63"/>
      <c r="I25" s="29"/>
      <c r="J25" s="52">
        <f t="shared" si="2"/>
        <v>0</v>
      </c>
    </row>
    <row r="26" spans="1:10" ht="16.95" customHeight="1">
      <c r="A26" s="58">
        <v>23</v>
      </c>
      <c r="B26" s="77"/>
      <c r="C26" s="32"/>
      <c r="D26" s="32"/>
      <c r="E26" s="29"/>
      <c r="F26" s="29"/>
      <c r="G26" s="42"/>
      <c r="H26" s="63"/>
      <c r="I26" s="29"/>
      <c r="J26" s="52">
        <f t="shared" si="2"/>
        <v>0</v>
      </c>
    </row>
    <row r="27" spans="1:10" ht="16.95" customHeight="1">
      <c r="A27" s="58">
        <v>24</v>
      </c>
      <c r="B27" s="77"/>
      <c r="C27" s="32"/>
      <c r="D27" s="32"/>
      <c r="E27" s="29"/>
      <c r="F27" s="29"/>
      <c r="G27" s="42"/>
      <c r="H27" s="63"/>
      <c r="I27" s="29"/>
      <c r="J27" s="52">
        <f t="shared" si="2"/>
        <v>0</v>
      </c>
    </row>
    <row r="28" spans="1:10" ht="16.95" customHeight="1">
      <c r="A28" s="58">
        <v>25</v>
      </c>
      <c r="B28" s="77"/>
      <c r="C28" s="32"/>
      <c r="D28" s="32"/>
      <c r="E28" s="29"/>
      <c r="F28" s="29"/>
      <c r="G28" s="42"/>
      <c r="H28" s="63"/>
      <c r="I28" s="29"/>
      <c r="J28" s="52">
        <f t="shared" ref="J28:J53" si="3">SUM(E28:I28)</f>
        <v>0</v>
      </c>
    </row>
    <row r="29" spans="1:10" ht="16.95" customHeight="1">
      <c r="A29" s="58">
        <v>26</v>
      </c>
      <c r="B29" s="77"/>
      <c r="C29" s="32"/>
      <c r="D29" s="32"/>
      <c r="E29" s="29"/>
      <c r="F29" s="29"/>
      <c r="G29" s="42"/>
      <c r="H29" s="63"/>
      <c r="I29" s="29"/>
      <c r="J29" s="52">
        <f t="shared" si="3"/>
        <v>0</v>
      </c>
    </row>
    <row r="30" spans="1:10" ht="16.95" customHeight="1">
      <c r="A30" s="58">
        <v>27</v>
      </c>
      <c r="B30" s="77"/>
      <c r="C30" s="32"/>
      <c r="D30" s="32"/>
      <c r="E30" s="29"/>
      <c r="F30" s="29"/>
      <c r="G30" s="42"/>
      <c r="H30" s="63"/>
      <c r="I30" s="29"/>
      <c r="J30" s="52">
        <f t="shared" si="3"/>
        <v>0</v>
      </c>
    </row>
    <row r="31" spans="1:10" ht="16.95" customHeight="1">
      <c r="A31" s="58">
        <v>28</v>
      </c>
      <c r="B31" s="77"/>
      <c r="C31" s="32"/>
      <c r="D31" s="32"/>
      <c r="E31" s="29"/>
      <c r="F31" s="29"/>
      <c r="G31" s="42"/>
      <c r="H31" s="63"/>
      <c r="I31" s="29"/>
      <c r="J31" s="52">
        <f t="shared" si="3"/>
        <v>0</v>
      </c>
    </row>
    <row r="32" spans="1:10" ht="16.95" customHeight="1">
      <c r="A32" s="58">
        <v>29</v>
      </c>
      <c r="B32" s="77"/>
      <c r="C32" s="32"/>
      <c r="D32" s="32"/>
      <c r="E32" s="29"/>
      <c r="F32" s="29"/>
      <c r="G32" s="42"/>
      <c r="H32" s="63"/>
      <c r="I32" s="29"/>
      <c r="J32" s="52">
        <f t="shared" si="3"/>
        <v>0</v>
      </c>
    </row>
    <row r="33" spans="1:10" ht="16.95" customHeight="1">
      <c r="A33" s="58">
        <v>30</v>
      </c>
      <c r="B33" s="77"/>
      <c r="C33" s="32"/>
      <c r="D33" s="32"/>
      <c r="E33" s="29"/>
      <c r="F33" s="29"/>
      <c r="G33" s="42"/>
      <c r="H33" s="63"/>
      <c r="I33" s="29"/>
      <c r="J33" s="52">
        <f t="shared" si="3"/>
        <v>0</v>
      </c>
    </row>
    <row r="34" spans="1:10" ht="16.95" customHeight="1">
      <c r="A34" s="58">
        <v>31</v>
      </c>
      <c r="B34" s="77"/>
      <c r="C34" s="32"/>
      <c r="D34" s="32"/>
      <c r="E34" s="29"/>
      <c r="F34" s="29"/>
      <c r="G34" s="42"/>
      <c r="H34" s="63"/>
      <c r="I34" s="29"/>
      <c r="J34" s="52">
        <f t="shared" si="3"/>
        <v>0</v>
      </c>
    </row>
    <row r="35" spans="1:10" ht="16.95" customHeight="1">
      <c r="A35" s="58">
        <v>32</v>
      </c>
      <c r="B35" s="77"/>
      <c r="C35" s="32"/>
      <c r="D35" s="32"/>
      <c r="E35" s="29"/>
      <c r="F35" s="29"/>
      <c r="G35" s="42"/>
      <c r="H35" s="63"/>
      <c r="I35" s="29"/>
      <c r="J35" s="52">
        <f t="shared" si="3"/>
        <v>0</v>
      </c>
    </row>
    <row r="36" spans="1:10" ht="16.95" customHeight="1">
      <c r="A36" s="58">
        <v>33</v>
      </c>
      <c r="B36" s="77"/>
      <c r="C36" s="32"/>
      <c r="D36" s="32"/>
      <c r="E36" s="29"/>
      <c r="F36" s="29"/>
      <c r="G36" s="42"/>
      <c r="H36" s="63"/>
      <c r="I36" s="29"/>
      <c r="J36" s="52">
        <f t="shared" si="3"/>
        <v>0</v>
      </c>
    </row>
    <row r="37" spans="1:10" ht="16.95" customHeight="1">
      <c r="A37" s="58">
        <v>34</v>
      </c>
      <c r="B37" s="77"/>
      <c r="C37" s="32"/>
      <c r="D37" s="32"/>
      <c r="E37" s="29"/>
      <c r="F37" s="29"/>
      <c r="G37" s="42"/>
      <c r="H37" s="63"/>
      <c r="I37" s="29"/>
      <c r="J37" s="52">
        <f t="shared" si="3"/>
        <v>0</v>
      </c>
    </row>
    <row r="38" spans="1:10" ht="16.95" customHeight="1">
      <c r="A38" s="58">
        <v>35</v>
      </c>
      <c r="B38" s="77"/>
      <c r="C38" s="32"/>
      <c r="D38" s="32"/>
      <c r="E38" s="29"/>
      <c r="F38" s="29"/>
      <c r="G38" s="42"/>
      <c r="H38" s="63"/>
      <c r="I38" s="29"/>
      <c r="J38" s="52">
        <f t="shared" si="3"/>
        <v>0</v>
      </c>
    </row>
    <row r="39" spans="1:10" ht="16.95" customHeight="1">
      <c r="A39" s="58">
        <v>36</v>
      </c>
      <c r="B39" s="77"/>
      <c r="C39" s="32"/>
      <c r="D39" s="32"/>
      <c r="E39" s="29"/>
      <c r="F39" s="29"/>
      <c r="G39" s="42"/>
      <c r="H39" s="63"/>
      <c r="I39" s="29"/>
      <c r="J39" s="52">
        <f t="shared" si="3"/>
        <v>0</v>
      </c>
    </row>
    <row r="40" spans="1:10" ht="16.95" customHeight="1">
      <c r="A40" s="58">
        <v>37</v>
      </c>
      <c r="B40" s="77"/>
      <c r="C40" s="32"/>
      <c r="D40" s="32"/>
      <c r="E40" s="29"/>
      <c r="F40" s="29"/>
      <c r="G40" s="42"/>
      <c r="H40" s="63"/>
      <c r="I40" s="29"/>
      <c r="J40" s="52">
        <f t="shared" si="3"/>
        <v>0</v>
      </c>
    </row>
    <row r="41" spans="1:10" ht="16.95" customHeight="1">
      <c r="A41" s="58">
        <v>38</v>
      </c>
      <c r="B41" s="77"/>
      <c r="C41" s="32"/>
      <c r="D41" s="32"/>
      <c r="E41" s="29"/>
      <c r="F41" s="29"/>
      <c r="G41" s="42"/>
      <c r="H41" s="63"/>
      <c r="I41" s="29"/>
      <c r="J41" s="52">
        <f t="shared" si="3"/>
        <v>0</v>
      </c>
    </row>
    <row r="42" spans="1:10" ht="16.95" customHeight="1">
      <c r="A42" s="58">
        <v>39</v>
      </c>
      <c r="B42" s="77"/>
      <c r="C42" s="32"/>
      <c r="D42" s="32"/>
      <c r="E42" s="29"/>
      <c r="F42" s="29"/>
      <c r="G42" s="42"/>
      <c r="H42" s="63"/>
      <c r="I42" s="29"/>
      <c r="J42" s="52">
        <f t="shared" si="3"/>
        <v>0</v>
      </c>
    </row>
    <row r="43" spans="1:10" ht="16.95" customHeight="1">
      <c r="A43" s="58">
        <v>40</v>
      </c>
      <c r="B43" s="77"/>
      <c r="C43" s="32"/>
      <c r="D43" s="32"/>
      <c r="E43" s="29"/>
      <c r="F43" s="29"/>
      <c r="G43" s="42"/>
      <c r="H43" s="63"/>
      <c r="I43" s="29"/>
      <c r="J43" s="52">
        <f t="shared" si="3"/>
        <v>0</v>
      </c>
    </row>
    <row r="44" spans="1:10" ht="16.95" customHeight="1">
      <c r="A44" s="58">
        <v>41</v>
      </c>
      <c r="B44" s="77"/>
      <c r="C44" s="32"/>
      <c r="D44" s="32"/>
      <c r="E44" s="29"/>
      <c r="F44" s="29"/>
      <c r="G44" s="42"/>
      <c r="H44" s="63"/>
      <c r="I44" s="29"/>
      <c r="J44" s="52">
        <f t="shared" si="3"/>
        <v>0</v>
      </c>
    </row>
    <row r="45" spans="1:10" ht="16.95" customHeight="1">
      <c r="A45" s="58">
        <v>42</v>
      </c>
      <c r="B45" s="77"/>
      <c r="C45" s="32"/>
      <c r="D45" s="32"/>
      <c r="E45" s="29"/>
      <c r="F45" s="29"/>
      <c r="G45" s="42"/>
      <c r="H45" s="63"/>
      <c r="I45" s="29"/>
      <c r="J45" s="52">
        <f t="shared" si="3"/>
        <v>0</v>
      </c>
    </row>
    <row r="46" spans="1:10" ht="16.95" customHeight="1">
      <c r="A46" s="58">
        <v>43</v>
      </c>
      <c r="B46" s="77"/>
      <c r="C46" s="32"/>
      <c r="D46" s="32"/>
      <c r="E46" s="29"/>
      <c r="F46" s="29"/>
      <c r="G46" s="42"/>
      <c r="H46" s="63"/>
      <c r="I46" s="29"/>
      <c r="J46" s="52">
        <f t="shared" si="3"/>
        <v>0</v>
      </c>
    </row>
    <row r="47" spans="1:10" ht="16.95" customHeight="1">
      <c r="A47" s="58">
        <v>44</v>
      </c>
      <c r="B47" s="77"/>
      <c r="C47" s="32"/>
      <c r="D47" s="32"/>
      <c r="E47" s="29"/>
      <c r="F47" s="29"/>
      <c r="G47" s="42"/>
      <c r="H47" s="63"/>
      <c r="I47" s="29"/>
      <c r="J47" s="52">
        <f t="shared" si="3"/>
        <v>0</v>
      </c>
    </row>
    <row r="48" spans="1:10" ht="16.95" customHeight="1">
      <c r="A48" s="58">
        <v>45</v>
      </c>
      <c r="B48" s="77"/>
      <c r="C48" s="32"/>
      <c r="D48" s="32"/>
      <c r="E48" s="29"/>
      <c r="F48" s="29"/>
      <c r="G48" s="42"/>
      <c r="H48" s="63"/>
      <c r="I48" s="29"/>
      <c r="J48" s="52">
        <f t="shared" si="3"/>
        <v>0</v>
      </c>
    </row>
    <row r="49" spans="1:10" ht="16.95" customHeight="1">
      <c r="A49" s="58">
        <v>46</v>
      </c>
      <c r="B49" s="77"/>
      <c r="C49" s="32"/>
      <c r="D49" s="32"/>
      <c r="E49" s="29"/>
      <c r="F49" s="29"/>
      <c r="G49" s="42"/>
      <c r="H49" s="63"/>
      <c r="I49" s="29"/>
      <c r="J49" s="52">
        <f t="shared" si="3"/>
        <v>0</v>
      </c>
    </row>
    <row r="50" spans="1:10" ht="16.95" customHeight="1">
      <c r="A50" s="58">
        <v>47</v>
      </c>
      <c r="B50" s="77"/>
      <c r="C50" s="32"/>
      <c r="D50" s="32"/>
      <c r="E50" s="29"/>
      <c r="F50" s="29"/>
      <c r="G50" s="42"/>
      <c r="H50" s="63"/>
      <c r="I50" s="29"/>
      <c r="J50" s="52">
        <f t="shared" si="3"/>
        <v>0</v>
      </c>
    </row>
    <row r="51" spans="1:10" ht="16.95" customHeight="1">
      <c r="A51" s="58">
        <v>48</v>
      </c>
      <c r="B51" s="77"/>
      <c r="C51" s="32"/>
      <c r="D51" s="32"/>
      <c r="E51" s="29"/>
      <c r="F51" s="29"/>
      <c r="G51" s="42"/>
      <c r="H51" s="63"/>
      <c r="I51" s="29"/>
      <c r="J51" s="52">
        <f t="shared" si="3"/>
        <v>0</v>
      </c>
    </row>
    <row r="52" spans="1:10" ht="16.95" customHeight="1">
      <c r="A52" s="58">
        <v>49</v>
      </c>
      <c r="B52" s="77"/>
      <c r="C52" s="32"/>
      <c r="D52" s="32"/>
      <c r="E52" s="29"/>
      <c r="F52" s="29"/>
      <c r="G52" s="42"/>
      <c r="H52" s="63"/>
      <c r="I52" s="29"/>
      <c r="J52" s="52">
        <f t="shared" si="3"/>
        <v>0</v>
      </c>
    </row>
    <row r="53" spans="1:10" ht="16.95" customHeight="1">
      <c r="A53" s="58">
        <v>50</v>
      </c>
      <c r="B53" s="77"/>
      <c r="C53" s="32"/>
      <c r="D53" s="32"/>
      <c r="E53" s="29"/>
      <c r="F53" s="29"/>
      <c r="G53" s="42"/>
      <c r="H53" s="63"/>
      <c r="I53" s="29"/>
      <c r="J53" s="52">
        <f t="shared" si="3"/>
        <v>0</v>
      </c>
    </row>
  </sheetData>
  <sheetProtection algorithmName="SHA-512" hashValue="XlfDYlpJAOcNkEiw+4n4YuN1kdifMgLtsL9D7i2DQTKHpwkTXSjtYB232JnIAF5p2y92jI6cfdfKmblLw6ksgA==" saltValue="a7S+7TveXPw8M3XcVclLoA==" spinCount="100000" sheet="1" formatColumns="0" selectLockedCells="1" sort="0"/>
  <sortState xmlns:xlrd2="http://schemas.microsoft.com/office/spreadsheetml/2017/richdata2" ref="B4:J18">
    <sortCondition descending="1" ref="J4:J18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SUMIF('Women''s Championship'!C4:C50,"ACCR",'Women''s Championship'!J4:J50)</f>
        <v>130</v>
      </c>
    </row>
    <row r="4" spans="1:2" ht="13.95" customHeight="1">
      <c r="A4" s="13" t="s">
        <v>14</v>
      </c>
      <c r="B4" s="13">
        <f>SUMIF('Women''s Championship'!C4:C50,"ACU",'Women''s Championship'!J4:J50)</f>
        <v>440</v>
      </c>
    </row>
    <row r="5" spans="1:2" ht="13.95" customHeight="1">
      <c r="A5" s="13" t="s">
        <v>37</v>
      </c>
      <c r="B5" s="13">
        <f>SUMIF('Women''s Championship'!C4:C50,"AMA",'Women''s Championship'!J4:J50)</f>
        <v>0</v>
      </c>
    </row>
    <row r="6" spans="1:2" ht="13.95" customHeight="1">
      <c r="A6" s="13" t="s">
        <v>38</v>
      </c>
      <c r="B6" s="13">
        <f>SUMIF('Women''s Championship'!C4:C50,"AMOTOE",'Women''s Championship'!J4:J50)</f>
        <v>0</v>
      </c>
    </row>
    <row r="7" spans="1:2" ht="13.95" customHeight="1">
      <c r="A7" s="13" t="s">
        <v>60</v>
      </c>
      <c r="B7" s="13">
        <f>SUMIF('Women''s Championship'!C4:C50,"AMZS",'Women''s Championship'!J4:J50)</f>
        <v>0</v>
      </c>
    </row>
    <row r="8" spans="1:2" ht="13.95" customHeight="1">
      <c r="A8" s="13" t="s">
        <v>39</v>
      </c>
      <c r="B8" s="13">
        <f>SUMIF('Women''s Championship'!C4:C50,"BFMS",'Women''s Championship'!J4:J50)</f>
        <v>0</v>
      </c>
    </row>
    <row r="9" spans="1:2" ht="13.95" customHeight="1">
      <c r="A9" s="13" t="s">
        <v>40</v>
      </c>
      <c r="B9" s="14">
        <f>SUMIF('Women''s Championship'!C4:C50,"BIHAMK",'Women''s Championship'!J4:J50)</f>
        <v>0</v>
      </c>
    </row>
    <row r="10" spans="1:2" ht="13.95" customHeight="1">
      <c r="A10" s="13" t="s">
        <v>41</v>
      </c>
      <c r="B10" s="13">
        <f>SUMIF('Women''s Championship'!C4:C50,"BMF",'Women''s Championship'!J4:J50)</f>
        <v>0</v>
      </c>
    </row>
    <row r="11" spans="1:2" ht="13.95" customHeight="1">
      <c r="A11" s="13" t="s">
        <v>42</v>
      </c>
      <c r="B11" s="13">
        <f>SUMIF('Women''s Championship'!C4:C50,"CMA",'Women''s Championship'!J4:J50)</f>
        <v>0</v>
      </c>
    </row>
    <row r="12" spans="1:2" ht="13.5" customHeight="1">
      <c r="A12" s="13" t="s">
        <v>25</v>
      </c>
      <c r="B12" s="13">
        <f>SUMIF('Women''s Championship'!C4:C50,"CTMSA",'Women''s Championship'!J4:J50)</f>
        <v>0</v>
      </c>
    </row>
    <row r="13" spans="1:2" ht="13.5" customHeight="1">
      <c r="A13" s="13" t="s">
        <v>43</v>
      </c>
      <c r="B13" s="13">
        <f>SUMIF('Women''s Championship'!C4:C50,"CYMF",'Women''s Championship'!J4:J50)</f>
        <v>0</v>
      </c>
    </row>
    <row r="14" spans="1:2" ht="13.5" customHeight="1">
      <c r="A14" s="13" t="s">
        <v>11</v>
      </c>
      <c r="B14" s="13">
        <f>SUMIF('Women''s Championship'!C4:C50,"DMSB",'Women''s Championship'!J4:J50)</f>
        <v>458</v>
      </c>
    </row>
    <row r="15" spans="1:2" ht="13.5" customHeight="1">
      <c r="A15" s="13" t="s">
        <v>23</v>
      </c>
      <c r="B15" s="13">
        <f>SUMIF('Women''s Championship'!C4:C50,"DMU",'Women''s Championship'!J4:J50)</f>
        <v>62</v>
      </c>
    </row>
    <row r="16" spans="1:2" ht="13.5" customHeight="1">
      <c r="A16" s="13" t="s">
        <v>22</v>
      </c>
      <c r="B16" s="13">
        <f>SUMIF('Women''s Championship'!C4:C50,"EMF",'Women''s Championship'!J4:J50)</f>
        <v>75</v>
      </c>
    </row>
    <row r="17" spans="1:2" ht="13.5" customHeight="1">
      <c r="A17" s="13" t="s">
        <v>16</v>
      </c>
      <c r="B17" s="13">
        <f>SUMIF('Women''s Championship'!C4:C50,"FFM",'Women''s Championship'!J4:J50)</f>
        <v>460</v>
      </c>
    </row>
    <row r="18" spans="1:2" ht="13.5" customHeight="1">
      <c r="A18" s="13" t="s">
        <v>44</v>
      </c>
      <c r="B18" s="13">
        <f>SUMIF('Women''s Championship'!C4:C50,"FMA",'Women''s Championship'!J4:J50)</f>
        <v>0</v>
      </c>
    </row>
    <row r="19" spans="1:2" ht="13.5" customHeight="1">
      <c r="A19" s="13" t="s">
        <v>20</v>
      </c>
      <c r="B19" s="13">
        <f>SUMIF('Women''s Championship'!C4:C50,"FMB",'Women''s Championship'!J4:J50)</f>
        <v>0</v>
      </c>
    </row>
    <row r="20" spans="1:2" ht="13.5" customHeight="1">
      <c r="A20" s="13" t="s">
        <v>7</v>
      </c>
      <c r="B20" s="13">
        <f>SUMIF('Women''s Championship'!C4:C50,"FMI",'Women''s Championship'!J4:J50)</f>
        <v>0</v>
      </c>
    </row>
    <row r="21" spans="1:2" ht="13.5" customHeight="1">
      <c r="A21" s="13" t="s">
        <v>45</v>
      </c>
      <c r="B21" s="13">
        <f>SUMIF('Women''s Championship'!C4:C50,"FMP",'Women''s Championship'!J4:J50)</f>
        <v>0</v>
      </c>
    </row>
    <row r="22" spans="1:2" ht="13.5" customHeight="1">
      <c r="A22" s="13" t="s">
        <v>46</v>
      </c>
      <c r="B22" s="13">
        <f>SUMIF('Women''s Championship'!C4:C50,"FMRM",'Women''s Championship'!J4:J50)</f>
        <v>0</v>
      </c>
    </row>
    <row r="23" spans="1:2" ht="13.5" customHeight="1">
      <c r="A23" s="13" t="s">
        <v>47</v>
      </c>
      <c r="B23" s="13">
        <f>SUMIF('Women''s Championship'!C4:C50,"FMS",'Women''s Championship'!J4:J50)</f>
        <v>0</v>
      </c>
    </row>
    <row r="24" spans="1:2" ht="13.5" customHeight="1">
      <c r="A24" s="13" t="s">
        <v>48</v>
      </c>
      <c r="B24" s="13">
        <f>SUMIF('Women''s Championship'!C4:C50,"FMU",'Women''s Championship'!J4:J50)</f>
        <v>0</v>
      </c>
    </row>
    <row r="25" spans="1:2" ht="13.5" customHeight="1">
      <c r="A25" s="13" t="s">
        <v>49</v>
      </c>
      <c r="B25" s="13">
        <f>SUMIF('Women''s Championship'!C4:C50,"FRM",'Women''s Championship'!J4:J50)</f>
        <v>0</v>
      </c>
    </row>
    <row r="26" spans="1:2" ht="13.5" customHeight="1">
      <c r="A26" s="13" t="s">
        <v>17</v>
      </c>
      <c r="B26" s="13">
        <f>SUMIF('Women''s Championship'!C4:C50,"KNMV",'Women''s Championship'!J4:J50)</f>
        <v>16</v>
      </c>
    </row>
    <row r="27" spans="1:2" ht="13.5" customHeight="1">
      <c r="A27" s="13" t="s">
        <v>61</v>
      </c>
      <c r="B27" s="13">
        <f>SUMIF('Women''s Championship'!C4:C50,"LaMSF",'Women''s Championship'!J4:J50)</f>
        <v>0</v>
      </c>
    </row>
    <row r="28" spans="1:2" ht="13.5" customHeight="1">
      <c r="A28" s="13" t="s">
        <v>50</v>
      </c>
      <c r="B28" s="13">
        <f>SUMIF('Women''s Championship'!C4:C50,"LMSF",'Women''s Championship'!J4:J50)</f>
        <v>0</v>
      </c>
    </row>
    <row r="29" spans="1:2" ht="13.5" customHeight="1">
      <c r="A29" s="13" t="s">
        <v>24</v>
      </c>
      <c r="B29" s="13">
        <f>SUMIF('Women''s Championship'!C4:C50,"MA",'Women''s Championship'!J4:J50)</f>
        <v>0</v>
      </c>
    </row>
    <row r="30" spans="1:2" ht="13.5" customHeight="1">
      <c r="A30" s="13" t="s">
        <v>51</v>
      </c>
      <c r="B30" s="13">
        <f>SUMIF('Women''s Championship'!C4:C50,"MAMS",'Women''s Championship'!J4:J50)</f>
        <v>0</v>
      </c>
    </row>
    <row r="31" spans="1:2" ht="13.5" customHeight="1">
      <c r="A31" s="13" t="s">
        <v>52</v>
      </c>
      <c r="B31" s="13">
        <f>SUMIF('Women''s Championship'!C4:C50,"MCM",'Women''s Championship'!J4:J50)</f>
        <v>0</v>
      </c>
    </row>
    <row r="32" spans="1:2" ht="13.5" customHeight="1">
      <c r="A32" s="13" t="s">
        <v>53</v>
      </c>
      <c r="B32" s="13">
        <f>SUMIF('Women''s Championship'!C4:C50,"MCUI",'Women''s Championship'!J4:J50)</f>
        <v>0</v>
      </c>
    </row>
    <row r="33" spans="1:2" ht="13.5" customHeight="1">
      <c r="A33" s="13" t="s">
        <v>54</v>
      </c>
      <c r="B33" s="13">
        <f>SUMIF('Women''s Championship'!C4:C50,"FMJ",'Women''s Championship'!J4:J50)</f>
        <v>0</v>
      </c>
    </row>
    <row r="34" spans="1:2" ht="13.5" customHeight="1">
      <c r="A34" s="13" t="s">
        <v>55</v>
      </c>
      <c r="B34" s="13">
        <f>SUMIF('Women''s Championship'!C4:C50,"MFR",'Women''s Championship'!J4:J50)</f>
        <v>0</v>
      </c>
    </row>
    <row r="35" spans="1:2" ht="13.5" customHeight="1">
      <c r="A35" s="13" t="s">
        <v>56</v>
      </c>
      <c r="B35" s="13">
        <f>SUMIF('Women''s Championship'!C4:C50,"MSI",'Women''s Championship'!J4:J50)</f>
        <v>0</v>
      </c>
    </row>
    <row r="36" spans="1:2" ht="13.5" customHeight="1">
      <c r="A36" s="13" t="s">
        <v>57</v>
      </c>
      <c r="B36" s="13">
        <f>SUMIF('Women''s Championship'!C4:C50,"MUL",'Women''s Championship'!J4:J50)</f>
        <v>0</v>
      </c>
    </row>
    <row r="37" spans="1:2" ht="13.5" customHeight="1">
      <c r="A37" s="13" t="s">
        <v>10</v>
      </c>
      <c r="B37" s="13">
        <f>SUMIF('Women''s Championship'!C4:C50,"NMF",'Women''s Championship'!J4:J50)</f>
        <v>35</v>
      </c>
    </row>
    <row r="38" spans="1:2" ht="13.5" customHeight="1">
      <c r="A38" s="13" t="s">
        <v>62</v>
      </c>
      <c r="B38" s="13">
        <f>SUMIF('Women''s Championship'!C4:C50,"AMF",'Women''s Championship'!J4:J50)</f>
        <v>0</v>
      </c>
    </row>
    <row r="39" spans="1:2" ht="13.5" customHeight="1">
      <c r="A39" s="13" t="s">
        <v>12</v>
      </c>
      <c r="B39" s="13">
        <f>SUMIF('Women''s Championship'!C4:C50,"PZM",'Women''s Championship'!J4:J50)</f>
        <v>0</v>
      </c>
    </row>
    <row r="40" spans="1:2" ht="13.5" customHeight="1">
      <c r="A40" s="13" t="s">
        <v>8</v>
      </c>
      <c r="B40" s="13">
        <f>SUMIF('Women''s Championship'!C4:C50,"RFME",'Women''s Championship'!J4:J50)</f>
        <v>0</v>
      </c>
    </row>
    <row r="41" spans="1:2" ht="13.5" customHeight="1">
      <c r="A41" s="13" t="s">
        <v>19</v>
      </c>
      <c r="B41" s="13">
        <f>SUMIF('Women''s Championship'!C4:C50,"SMF",'Women''s Championship'!J4:J50)</f>
        <v>0</v>
      </c>
    </row>
    <row r="42" spans="1:2" ht="13.5" customHeight="1">
      <c r="A42" s="13" t="s">
        <v>15</v>
      </c>
      <c r="B42" s="13">
        <f>SUMIF('Women''s Championship'!C4:C50,"SML",'Women''s Championship'!J4:J50)</f>
        <v>0</v>
      </c>
    </row>
    <row r="43" spans="1:2" ht="13.5" customHeight="1">
      <c r="A43" s="13" t="s">
        <v>6</v>
      </c>
      <c r="B43" s="13">
        <f>SUMIF('Women''s Championship'!C4:C50,"SVEMO",'Women''s Championship'!J4:J50)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W50"/>
  <sheetViews>
    <sheetView showGridLines="0" zoomScale="125" zoomScaleNormal="125" workbookViewId="0">
      <selection activeCell="B4" sqref="B4"/>
    </sheetView>
  </sheetViews>
  <sheetFormatPr defaultColWidth="4.15234375" defaultRowHeight="13.5" customHeight="1"/>
  <cols>
    <col min="1" max="1" width="4.15234375" style="13" customWidth="1"/>
    <col min="2" max="2" width="19.15234375" style="13" customWidth="1"/>
    <col min="3" max="3" width="6.61328125" style="13" customWidth="1"/>
    <col min="4" max="4" width="7.61328125" style="13" customWidth="1"/>
    <col min="5" max="5" width="9.69140625" style="13" customWidth="1"/>
    <col min="6" max="7" width="10" style="13" customWidth="1"/>
    <col min="8" max="9" width="10.4609375" style="13" customWidth="1"/>
    <col min="10" max="10" width="5.69140625" style="13" hidden="1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72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205</v>
      </c>
      <c r="I3" s="104" t="s">
        <v>66</v>
      </c>
      <c r="J3" s="57" t="s">
        <v>5</v>
      </c>
    </row>
    <row r="4" spans="1:13" ht="16.95" customHeight="1">
      <c r="A4" s="58">
        <v>1</v>
      </c>
      <c r="B4" s="74" t="s">
        <v>138</v>
      </c>
      <c r="C4" s="89" t="s">
        <v>14</v>
      </c>
      <c r="D4" s="89" t="s">
        <v>123</v>
      </c>
      <c r="E4" s="63">
        <v>60</v>
      </c>
      <c r="F4" s="29">
        <v>100</v>
      </c>
      <c r="G4" s="42">
        <v>85</v>
      </c>
      <c r="H4" s="63"/>
      <c r="I4" s="29"/>
      <c r="J4" s="30">
        <f t="shared" ref="J4:J14" si="0">SUM(E4:I4)</f>
        <v>245</v>
      </c>
    </row>
    <row r="5" spans="1:13" ht="16.95" customHeight="1">
      <c r="A5" s="58">
        <v>2</v>
      </c>
      <c r="B5" s="74" t="s">
        <v>190</v>
      </c>
      <c r="C5" s="89" t="s">
        <v>14</v>
      </c>
      <c r="D5" s="89" t="s">
        <v>114</v>
      </c>
      <c r="E5" s="63"/>
      <c r="F5" s="29"/>
      <c r="G5" s="42">
        <v>50</v>
      </c>
      <c r="H5" s="63"/>
      <c r="I5" s="29"/>
      <c r="J5" s="30">
        <f t="shared" si="0"/>
        <v>50</v>
      </c>
    </row>
    <row r="6" spans="1:13" ht="16.95" customHeight="1">
      <c r="A6" s="58">
        <v>3</v>
      </c>
      <c r="B6" s="74" t="s">
        <v>133</v>
      </c>
      <c r="C6" s="89" t="s">
        <v>44</v>
      </c>
      <c r="D6" s="89" t="s">
        <v>82</v>
      </c>
      <c r="E6" s="63">
        <v>40</v>
      </c>
      <c r="F6" s="29">
        <v>50</v>
      </c>
      <c r="G6" s="42">
        <v>55</v>
      </c>
      <c r="H6" s="63"/>
      <c r="I6" s="29"/>
      <c r="J6" s="30">
        <f t="shared" si="0"/>
        <v>145</v>
      </c>
      <c r="M6" s="14"/>
    </row>
    <row r="7" spans="1:13" ht="16.95" customHeight="1">
      <c r="A7" s="58">
        <v>4</v>
      </c>
      <c r="B7" s="74" t="s">
        <v>141</v>
      </c>
      <c r="C7" s="89" t="s">
        <v>8</v>
      </c>
      <c r="D7" s="89" t="s">
        <v>79</v>
      </c>
      <c r="E7" s="63">
        <v>85</v>
      </c>
      <c r="F7" s="29"/>
      <c r="G7" s="42"/>
      <c r="H7" s="63"/>
      <c r="I7" s="29"/>
      <c r="J7" s="30">
        <f t="shared" si="0"/>
        <v>85</v>
      </c>
    </row>
    <row r="8" spans="1:13" ht="16.95" customHeight="1">
      <c r="A8" s="58">
        <v>5</v>
      </c>
      <c r="B8" s="74" t="s">
        <v>139</v>
      </c>
      <c r="C8" s="89" t="s">
        <v>14</v>
      </c>
      <c r="D8" s="89" t="s">
        <v>114</v>
      </c>
      <c r="E8" s="63">
        <v>50</v>
      </c>
      <c r="F8" s="29">
        <v>70</v>
      </c>
      <c r="G8" s="42">
        <v>70</v>
      </c>
      <c r="H8" s="63"/>
      <c r="I8" s="29"/>
      <c r="J8" s="30">
        <f t="shared" si="0"/>
        <v>190</v>
      </c>
    </row>
    <row r="9" spans="1:13" ht="16.95" customHeight="1">
      <c r="A9" s="58">
        <v>6</v>
      </c>
      <c r="B9" s="74" t="s">
        <v>192</v>
      </c>
      <c r="C9" s="89" t="s">
        <v>14</v>
      </c>
      <c r="D9" s="89" t="s">
        <v>79</v>
      </c>
      <c r="E9" s="63"/>
      <c r="F9" s="29"/>
      <c r="G9" s="42">
        <v>60</v>
      </c>
      <c r="H9" s="63"/>
      <c r="I9" s="29"/>
      <c r="J9" s="30">
        <f t="shared" si="0"/>
        <v>60</v>
      </c>
    </row>
    <row r="10" spans="1:13" ht="16.95" customHeight="1">
      <c r="A10" s="58">
        <v>7</v>
      </c>
      <c r="B10" s="74" t="s">
        <v>143</v>
      </c>
      <c r="C10" s="89" t="s">
        <v>8</v>
      </c>
      <c r="D10" s="89" t="s">
        <v>114</v>
      </c>
      <c r="E10" s="63">
        <v>70</v>
      </c>
      <c r="F10" s="29"/>
      <c r="G10" s="42"/>
      <c r="H10" s="63"/>
      <c r="I10" s="29"/>
      <c r="J10" s="30">
        <f t="shared" si="0"/>
        <v>70</v>
      </c>
    </row>
    <row r="11" spans="1:13" ht="16.95" customHeight="1">
      <c r="A11" s="58">
        <v>8</v>
      </c>
      <c r="B11" s="74" t="s">
        <v>191</v>
      </c>
      <c r="C11" s="89" t="s">
        <v>14</v>
      </c>
      <c r="D11" s="89" t="s">
        <v>79</v>
      </c>
      <c r="E11" s="63"/>
      <c r="F11" s="29"/>
      <c r="G11" s="42">
        <v>100</v>
      </c>
      <c r="H11" s="63"/>
      <c r="I11" s="29"/>
      <c r="J11" s="30">
        <f t="shared" si="0"/>
        <v>100</v>
      </c>
      <c r="M11" s="14"/>
    </row>
    <row r="12" spans="1:13" ht="16.95" customHeight="1">
      <c r="A12" s="58">
        <v>9</v>
      </c>
      <c r="B12" s="74" t="s">
        <v>140</v>
      </c>
      <c r="C12" s="89" t="s">
        <v>8</v>
      </c>
      <c r="D12" s="89" t="s">
        <v>79</v>
      </c>
      <c r="E12" s="63">
        <v>100</v>
      </c>
      <c r="F12" s="29"/>
      <c r="G12" s="42"/>
      <c r="H12" s="63"/>
      <c r="I12" s="29"/>
      <c r="J12" s="30">
        <f t="shared" si="0"/>
        <v>100</v>
      </c>
    </row>
    <row r="13" spans="1:13" ht="16.95" customHeight="1">
      <c r="A13" s="58">
        <v>10</v>
      </c>
      <c r="B13" s="74" t="s">
        <v>181</v>
      </c>
      <c r="C13" s="89" t="s">
        <v>16</v>
      </c>
      <c r="D13" s="89" t="s">
        <v>84</v>
      </c>
      <c r="E13" s="63"/>
      <c r="F13" s="29">
        <v>85</v>
      </c>
      <c r="G13" s="42"/>
      <c r="H13" s="63"/>
      <c r="I13" s="29"/>
      <c r="J13" s="30">
        <f t="shared" si="0"/>
        <v>85</v>
      </c>
    </row>
    <row r="14" spans="1:13" ht="16.95" customHeight="1">
      <c r="A14" s="58">
        <v>11</v>
      </c>
      <c r="B14" s="74" t="s">
        <v>142</v>
      </c>
      <c r="C14" s="89" t="s">
        <v>8</v>
      </c>
      <c r="D14" s="89" t="s">
        <v>82</v>
      </c>
      <c r="E14" s="63">
        <v>45</v>
      </c>
      <c r="F14" s="29"/>
      <c r="G14" s="42"/>
      <c r="H14" s="63"/>
      <c r="I14" s="29"/>
      <c r="J14" s="30">
        <f t="shared" si="0"/>
        <v>45</v>
      </c>
    </row>
    <row r="15" spans="1:13" ht="16.95" customHeight="1">
      <c r="A15" s="58">
        <v>12</v>
      </c>
      <c r="B15" s="77" t="s">
        <v>182</v>
      </c>
      <c r="C15" s="92" t="s">
        <v>47</v>
      </c>
      <c r="D15" s="92" t="s">
        <v>114</v>
      </c>
      <c r="E15" s="20"/>
      <c r="F15" s="29">
        <v>55</v>
      </c>
      <c r="G15" s="42"/>
      <c r="H15" s="63"/>
      <c r="I15" s="29"/>
      <c r="J15" s="30">
        <f t="shared" ref="J15:J50" si="1">SUM(E15:I15)</f>
        <v>55</v>
      </c>
    </row>
    <row r="16" spans="1:13" ht="16.95" customHeight="1">
      <c r="A16" s="58">
        <v>13</v>
      </c>
      <c r="B16" s="77" t="s">
        <v>161</v>
      </c>
      <c r="C16" s="92" t="s">
        <v>16</v>
      </c>
      <c r="D16" s="92" t="s">
        <v>84</v>
      </c>
      <c r="E16" s="20">
        <v>55</v>
      </c>
      <c r="F16" s="29">
        <v>60</v>
      </c>
      <c r="G16" s="42"/>
      <c r="H16" s="63"/>
      <c r="I16" s="29"/>
      <c r="J16" s="30">
        <f t="shared" si="1"/>
        <v>115</v>
      </c>
    </row>
    <row r="17" spans="1:10" ht="16.95" customHeight="1">
      <c r="A17" s="58">
        <v>14</v>
      </c>
      <c r="B17" s="77"/>
      <c r="C17" s="96"/>
      <c r="D17" s="96"/>
      <c r="E17" s="29"/>
      <c r="F17" s="29"/>
      <c r="G17" s="42"/>
      <c r="H17" s="63"/>
      <c r="I17" s="29"/>
      <c r="J17" s="30">
        <f t="shared" si="1"/>
        <v>0</v>
      </c>
    </row>
    <row r="18" spans="1:10" ht="16.95" customHeight="1">
      <c r="A18" s="58">
        <v>15</v>
      </c>
      <c r="B18" s="77"/>
      <c r="C18" s="96"/>
      <c r="D18" s="96"/>
      <c r="E18" s="29"/>
      <c r="F18" s="29"/>
      <c r="G18" s="42"/>
      <c r="H18" s="63"/>
      <c r="I18" s="29"/>
      <c r="J18" s="30">
        <f t="shared" si="1"/>
        <v>0</v>
      </c>
    </row>
    <row r="19" spans="1:10" ht="16.95" customHeight="1">
      <c r="A19" s="58">
        <v>16</v>
      </c>
      <c r="B19" s="77"/>
      <c r="C19" s="96"/>
      <c r="D19" s="96"/>
      <c r="E19" s="29"/>
      <c r="F19" s="29"/>
      <c r="G19" s="42"/>
      <c r="H19" s="63"/>
      <c r="I19" s="29"/>
      <c r="J19" s="30">
        <f t="shared" si="1"/>
        <v>0</v>
      </c>
    </row>
    <row r="20" spans="1:10" ht="16.95" customHeight="1">
      <c r="A20" s="58">
        <v>17</v>
      </c>
      <c r="B20" s="77"/>
      <c r="C20" s="96"/>
      <c r="D20" s="96"/>
      <c r="E20" s="29"/>
      <c r="F20" s="29"/>
      <c r="G20" s="42"/>
      <c r="H20" s="63"/>
      <c r="I20" s="29"/>
      <c r="J20" s="30">
        <f t="shared" si="1"/>
        <v>0</v>
      </c>
    </row>
    <row r="21" spans="1:10" ht="16.95" customHeight="1">
      <c r="A21" s="58">
        <v>18</v>
      </c>
      <c r="B21" s="77"/>
      <c r="C21" s="96"/>
      <c r="D21" s="96"/>
      <c r="E21" s="29"/>
      <c r="F21" s="29"/>
      <c r="G21" s="42"/>
      <c r="H21" s="63"/>
      <c r="I21" s="29"/>
      <c r="J21" s="30">
        <f t="shared" si="1"/>
        <v>0</v>
      </c>
    </row>
    <row r="22" spans="1:10" ht="16.95" customHeight="1">
      <c r="A22" s="58">
        <v>19</v>
      </c>
      <c r="B22" s="77"/>
      <c r="C22" s="96"/>
      <c r="D22" s="96"/>
      <c r="E22" s="29"/>
      <c r="F22" s="29"/>
      <c r="G22" s="42"/>
      <c r="H22" s="63"/>
      <c r="I22" s="29"/>
      <c r="J22" s="30">
        <f t="shared" si="1"/>
        <v>0</v>
      </c>
    </row>
    <row r="23" spans="1:10" ht="16.95" customHeight="1">
      <c r="A23" s="58">
        <v>20</v>
      </c>
      <c r="B23" s="77"/>
      <c r="C23" s="96"/>
      <c r="D23" s="96"/>
      <c r="E23" s="29"/>
      <c r="F23" s="29"/>
      <c r="G23" s="42"/>
      <c r="H23" s="63"/>
      <c r="I23" s="29"/>
      <c r="J23" s="30">
        <f t="shared" si="1"/>
        <v>0</v>
      </c>
    </row>
    <row r="24" spans="1:10" ht="16.95" customHeight="1">
      <c r="A24" s="58">
        <v>21</v>
      </c>
      <c r="B24" s="77"/>
      <c r="C24" s="96"/>
      <c r="D24" s="96"/>
      <c r="E24" s="29"/>
      <c r="F24" s="29"/>
      <c r="G24" s="42"/>
      <c r="H24" s="63"/>
      <c r="I24" s="29"/>
      <c r="J24" s="30">
        <f t="shared" si="1"/>
        <v>0</v>
      </c>
    </row>
    <row r="25" spans="1:10" ht="16.95" customHeight="1">
      <c r="A25" s="58">
        <v>22</v>
      </c>
      <c r="B25" s="77"/>
      <c r="C25" s="96"/>
      <c r="D25" s="96"/>
      <c r="E25" s="29"/>
      <c r="F25" s="29"/>
      <c r="G25" s="42"/>
      <c r="H25" s="63"/>
      <c r="I25" s="29"/>
      <c r="J25" s="30">
        <f t="shared" si="1"/>
        <v>0</v>
      </c>
    </row>
    <row r="26" spans="1:10" ht="16.95" customHeight="1">
      <c r="A26" s="58">
        <v>23</v>
      </c>
      <c r="B26" s="77"/>
      <c r="C26" s="92"/>
      <c r="D26" s="92"/>
      <c r="E26" s="20"/>
      <c r="F26" s="29"/>
      <c r="G26" s="42"/>
      <c r="H26" s="63"/>
      <c r="I26" s="29"/>
      <c r="J26" s="30">
        <f t="shared" si="1"/>
        <v>0</v>
      </c>
    </row>
    <row r="27" spans="1:10" ht="16.95" customHeight="1">
      <c r="A27" s="58">
        <v>24</v>
      </c>
      <c r="B27" s="77"/>
      <c r="C27" s="92"/>
      <c r="D27" s="92"/>
      <c r="E27" s="20"/>
      <c r="F27" s="29"/>
      <c r="G27" s="42"/>
      <c r="H27" s="63"/>
      <c r="I27" s="29"/>
      <c r="J27" s="30">
        <f t="shared" si="1"/>
        <v>0</v>
      </c>
    </row>
    <row r="28" spans="1:10" ht="16.95" customHeight="1">
      <c r="A28" s="58">
        <v>25</v>
      </c>
      <c r="B28" s="77"/>
      <c r="C28" s="96"/>
      <c r="D28" s="96"/>
      <c r="E28" s="29"/>
      <c r="F28" s="29"/>
      <c r="G28" s="42"/>
      <c r="H28" s="63"/>
      <c r="I28" s="29"/>
      <c r="J28" s="30">
        <f t="shared" si="1"/>
        <v>0</v>
      </c>
    </row>
    <row r="29" spans="1:10" ht="16.95" customHeight="1">
      <c r="A29" s="58">
        <v>26</v>
      </c>
      <c r="B29" s="77"/>
      <c r="C29" s="96"/>
      <c r="D29" s="96"/>
      <c r="E29" s="29"/>
      <c r="F29" s="29"/>
      <c r="G29" s="42"/>
      <c r="H29" s="63"/>
      <c r="I29" s="29"/>
      <c r="J29" s="30">
        <f t="shared" si="1"/>
        <v>0</v>
      </c>
    </row>
    <row r="30" spans="1:10" ht="16.95" customHeight="1">
      <c r="A30" s="58">
        <v>27</v>
      </c>
      <c r="B30" s="77"/>
      <c r="C30" s="96"/>
      <c r="D30" s="96"/>
      <c r="E30" s="29"/>
      <c r="F30" s="29"/>
      <c r="G30" s="42"/>
      <c r="H30" s="63"/>
      <c r="I30" s="29"/>
      <c r="J30" s="30">
        <f t="shared" si="1"/>
        <v>0</v>
      </c>
    </row>
    <row r="31" spans="1:10" ht="16.95" customHeight="1">
      <c r="A31" s="58">
        <v>28</v>
      </c>
      <c r="B31" s="77"/>
      <c r="C31" s="96"/>
      <c r="D31" s="96"/>
      <c r="E31" s="29"/>
      <c r="F31" s="29"/>
      <c r="G31" s="42"/>
      <c r="H31" s="63"/>
      <c r="I31" s="29"/>
      <c r="J31" s="30">
        <f t="shared" si="1"/>
        <v>0</v>
      </c>
    </row>
    <row r="32" spans="1:10" ht="16.95" customHeight="1">
      <c r="A32" s="58">
        <v>29</v>
      </c>
      <c r="B32" s="77"/>
      <c r="C32" s="32"/>
      <c r="D32" s="32"/>
      <c r="E32" s="29"/>
      <c r="F32" s="29"/>
      <c r="G32" s="42"/>
      <c r="H32" s="63"/>
      <c r="I32" s="29"/>
      <c r="J32" s="30">
        <f t="shared" si="1"/>
        <v>0</v>
      </c>
    </row>
    <row r="33" spans="1:10" ht="16.95" customHeight="1">
      <c r="A33" s="58">
        <v>30</v>
      </c>
      <c r="B33" s="77"/>
      <c r="C33" s="32"/>
      <c r="D33" s="32"/>
      <c r="E33" s="29"/>
      <c r="F33" s="29"/>
      <c r="G33" s="42"/>
      <c r="H33" s="63"/>
      <c r="I33" s="29"/>
      <c r="J33" s="30">
        <f t="shared" si="1"/>
        <v>0</v>
      </c>
    </row>
    <row r="34" spans="1:10" ht="16.95" customHeight="1">
      <c r="A34" s="58">
        <v>31</v>
      </c>
      <c r="B34" s="77"/>
      <c r="C34" s="32"/>
      <c r="D34" s="32"/>
      <c r="E34" s="29"/>
      <c r="F34" s="29"/>
      <c r="G34" s="42"/>
      <c r="H34" s="63"/>
      <c r="I34" s="29"/>
      <c r="J34" s="30">
        <f t="shared" si="1"/>
        <v>0</v>
      </c>
    </row>
    <row r="35" spans="1:10" ht="16.95" customHeight="1">
      <c r="A35" s="58">
        <v>32</v>
      </c>
      <c r="B35" s="77"/>
      <c r="C35" s="32"/>
      <c r="D35" s="32"/>
      <c r="E35" s="29"/>
      <c r="F35" s="29"/>
      <c r="G35" s="42"/>
      <c r="H35" s="63"/>
      <c r="I35" s="29"/>
      <c r="J35" s="30">
        <f t="shared" si="1"/>
        <v>0</v>
      </c>
    </row>
    <row r="36" spans="1:10" ht="16.95" customHeight="1">
      <c r="A36" s="58">
        <v>33</v>
      </c>
      <c r="B36" s="77"/>
      <c r="C36" s="32"/>
      <c r="D36" s="32"/>
      <c r="E36" s="29"/>
      <c r="F36" s="29"/>
      <c r="G36" s="42"/>
      <c r="H36" s="63"/>
      <c r="I36" s="29"/>
      <c r="J36" s="30">
        <f t="shared" si="1"/>
        <v>0</v>
      </c>
    </row>
    <row r="37" spans="1:10" ht="16.95" customHeight="1">
      <c r="A37" s="58">
        <v>34</v>
      </c>
      <c r="B37" s="77"/>
      <c r="C37" s="19"/>
      <c r="D37" s="19"/>
      <c r="E37" s="20"/>
      <c r="F37" s="29"/>
      <c r="G37" s="42"/>
      <c r="H37" s="63"/>
      <c r="I37" s="29"/>
      <c r="J37" s="30">
        <f t="shared" si="1"/>
        <v>0</v>
      </c>
    </row>
    <row r="38" spans="1:10" ht="16.95" customHeight="1">
      <c r="A38" s="58">
        <v>35</v>
      </c>
      <c r="B38" s="77"/>
      <c r="C38" s="19"/>
      <c r="D38" s="19"/>
      <c r="E38" s="20"/>
      <c r="F38" s="29"/>
      <c r="G38" s="42"/>
      <c r="H38" s="63"/>
      <c r="I38" s="29"/>
      <c r="J38" s="30">
        <f t="shared" si="1"/>
        <v>0</v>
      </c>
    </row>
    <row r="39" spans="1:10" ht="16.95" customHeight="1">
      <c r="A39" s="58">
        <v>36</v>
      </c>
      <c r="B39" s="77"/>
      <c r="C39" s="32"/>
      <c r="D39" s="32"/>
      <c r="E39" s="29"/>
      <c r="F39" s="29"/>
      <c r="G39" s="42"/>
      <c r="H39" s="63"/>
      <c r="I39" s="29"/>
      <c r="J39" s="30">
        <f t="shared" si="1"/>
        <v>0</v>
      </c>
    </row>
    <row r="40" spans="1:10" ht="16.95" customHeight="1">
      <c r="A40" s="58">
        <v>37</v>
      </c>
      <c r="B40" s="77"/>
      <c r="C40" s="32"/>
      <c r="D40" s="32"/>
      <c r="E40" s="29"/>
      <c r="F40" s="29"/>
      <c r="G40" s="42"/>
      <c r="H40" s="63"/>
      <c r="I40" s="29"/>
      <c r="J40" s="30">
        <f t="shared" si="1"/>
        <v>0</v>
      </c>
    </row>
    <row r="41" spans="1:10" ht="16.95" customHeight="1">
      <c r="A41" s="58">
        <v>38</v>
      </c>
      <c r="B41" s="77"/>
      <c r="C41" s="32"/>
      <c r="D41" s="32"/>
      <c r="E41" s="29"/>
      <c r="F41" s="29"/>
      <c r="G41" s="42"/>
      <c r="H41" s="63"/>
      <c r="I41" s="29"/>
      <c r="J41" s="30">
        <f t="shared" si="1"/>
        <v>0</v>
      </c>
    </row>
    <row r="42" spans="1:10" ht="16.95" customHeight="1">
      <c r="A42" s="58">
        <v>39</v>
      </c>
      <c r="B42" s="77"/>
      <c r="C42" s="32"/>
      <c r="D42" s="32"/>
      <c r="E42" s="29"/>
      <c r="F42" s="29"/>
      <c r="G42" s="42"/>
      <c r="H42" s="63"/>
      <c r="I42" s="29"/>
      <c r="J42" s="30">
        <f t="shared" si="1"/>
        <v>0</v>
      </c>
    </row>
    <row r="43" spans="1:10" ht="16.95" customHeight="1">
      <c r="A43" s="58">
        <v>40</v>
      </c>
      <c r="B43" s="77"/>
      <c r="C43" s="32"/>
      <c r="D43" s="32"/>
      <c r="E43" s="29"/>
      <c r="F43" s="29"/>
      <c r="G43" s="42"/>
      <c r="H43" s="63"/>
      <c r="I43" s="29"/>
      <c r="J43" s="30">
        <f t="shared" si="1"/>
        <v>0</v>
      </c>
    </row>
    <row r="44" spans="1:10" ht="16.95" customHeight="1">
      <c r="A44" s="58">
        <v>41</v>
      </c>
      <c r="B44" s="77"/>
      <c r="C44" s="32"/>
      <c r="D44" s="32"/>
      <c r="E44" s="29"/>
      <c r="F44" s="29"/>
      <c r="G44" s="42"/>
      <c r="H44" s="63"/>
      <c r="I44" s="29"/>
      <c r="J44" s="30">
        <f t="shared" si="1"/>
        <v>0</v>
      </c>
    </row>
    <row r="45" spans="1:10" ht="16.95" customHeight="1">
      <c r="A45" s="58">
        <v>42</v>
      </c>
      <c r="B45" s="77"/>
      <c r="C45" s="32"/>
      <c r="D45" s="32"/>
      <c r="E45" s="29"/>
      <c r="F45" s="29"/>
      <c r="G45" s="42"/>
      <c r="H45" s="63"/>
      <c r="I45" s="29"/>
      <c r="J45" s="30">
        <f t="shared" si="1"/>
        <v>0</v>
      </c>
    </row>
    <row r="46" spans="1:10" ht="16.95" customHeight="1">
      <c r="A46" s="58">
        <v>43</v>
      </c>
      <c r="B46" s="77"/>
      <c r="C46" s="32"/>
      <c r="D46" s="32"/>
      <c r="E46" s="29"/>
      <c r="F46" s="29"/>
      <c r="G46" s="42"/>
      <c r="H46" s="63"/>
      <c r="I46" s="29"/>
      <c r="J46" s="30">
        <f t="shared" si="1"/>
        <v>0</v>
      </c>
    </row>
    <row r="47" spans="1:10" ht="16.95" customHeight="1">
      <c r="A47" s="58">
        <v>44</v>
      </c>
      <c r="B47" s="77"/>
      <c r="C47" s="32"/>
      <c r="D47" s="32"/>
      <c r="E47" s="29"/>
      <c r="F47" s="29"/>
      <c r="G47" s="42"/>
      <c r="H47" s="63"/>
      <c r="I47" s="29"/>
      <c r="J47" s="30">
        <f t="shared" si="1"/>
        <v>0</v>
      </c>
    </row>
    <row r="48" spans="1:10" ht="16.95" customHeight="1">
      <c r="A48" s="58">
        <v>45</v>
      </c>
      <c r="B48" s="77"/>
      <c r="C48" s="19"/>
      <c r="D48" s="19"/>
      <c r="E48" s="20"/>
      <c r="F48" s="29"/>
      <c r="G48" s="42"/>
      <c r="H48" s="63"/>
      <c r="I48" s="29"/>
      <c r="J48" s="30">
        <f t="shared" si="1"/>
        <v>0</v>
      </c>
    </row>
    <row r="49" spans="1:10" ht="16.95" customHeight="1">
      <c r="A49" s="58">
        <v>46</v>
      </c>
      <c r="B49" s="77"/>
      <c r="C49" s="19"/>
      <c r="D49" s="19"/>
      <c r="E49" s="20"/>
      <c r="F49" s="29"/>
      <c r="G49" s="42"/>
      <c r="H49" s="63"/>
      <c r="I49" s="29"/>
      <c r="J49" s="30">
        <f t="shared" si="1"/>
        <v>0</v>
      </c>
    </row>
    <row r="50" spans="1:10" ht="16.95" customHeight="1">
      <c r="A50" s="58">
        <v>47</v>
      </c>
      <c r="B50" s="77"/>
      <c r="C50" s="32"/>
      <c r="D50" s="32"/>
      <c r="E50" s="29"/>
      <c r="F50" s="29"/>
      <c r="G50" s="42"/>
      <c r="H50" s="63"/>
      <c r="I50" s="29"/>
      <c r="J50" s="30">
        <f t="shared" si="1"/>
        <v>0</v>
      </c>
    </row>
  </sheetData>
  <sheetProtection algorithmName="SHA-512" hashValue="6rs5LaZVJavSj3l7TVJcNkQr+SdiNmzxpYEnweAdrgVDq7bWHljgsm6uoed+YMIlUBMxgdjdLs1eSGPxyFyctg==" saltValue="fNG6E4LP+3cI61y2ibS9nw==" spinCount="100000" sheet="1" objects="1" scenarios="1" formatCells="0" formatColumns="0" selectLockedCells="1" sort="0" autoFilter="0"/>
  <sortState xmlns:xlrd2="http://schemas.microsoft.com/office/spreadsheetml/2017/richdata2" ref="B4:I16">
    <sortCondition ref="B4:B16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SUMIF('Women International'!C4:C50,"ACCR",'Women International'!J4:J50)</f>
        <v>0</v>
      </c>
    </row>
    <row r="4" spans="1:2" ht="13.95" customHeight="1">
      <c r="A4" s="13" t="s">
        <v>14</v>
      </c>
      <c r="B4" s="13">
        <f>SUMIF('Women International'!C4:C50,"ACU",'Women International'!J4:J50)</f>
        <v>645</v>
      </c>
    </row>
    <row r="5" spans="1:2" ht="13.95" customHeight="1">
      <c r="A5" s="13" t="s">
        <v>37</v>
      </c>
      <c r="B5" s="13">
        <f>SUMIF('Women International'!C4:C50,"AMA",'Women International'!J4:J50)</f>
        <v>0</v>
      </c>
    </row>
    <row r="6" spans="1:2" ht="13.95" customHeight="1">
      <c r="A6" s="13" t="s">
        <v>38</v>
      </c>
      <c r="B6" s="13">
        <f>SUMIF('Women International'!C4:C50,"AMOTOE",'Women International'!J4:J50)</f>
        <v>0</v>
      </c>
    </row>
    <row r="7" spans="1:2" ht="13.95" customHeight="1">
      <c r="A7" s="13" t="s">
        <v>60</v>
      </c>
      <c r="B7" s="13">
        <f>SUMIF('Women International'!C4:C50,"AMZS",'Women International'!J4:J50)</f>
        <v>0</v>
      </c>
    </row>
    <row r="8" spans="1:2" ht="13.95" customHeight="1">
      <c r="A8" s="13" t="s">
        <v>39</v>
      </c>
      <c r="B8" s="13">
        <f>SUMIF('Women International'!C4:C50,"BFMS",'Women International'!J4:J50)</f>
        <v>0</v>
      </c>
    </row>
    <row r="9" spans="1:2" ht="13.95" customHeight="1">
      <c r="A9" s="13" t="s">
        <v>40</v>
      </c>
      <c r="B9" s="14">
        <f>SUMIF('Women International'!C4:C50,"BIHAMK",'Women International'!J4:J50)</f>
        <v>0</v>
      </c>
    </row>
    <row r="10" spans="1:2" ht="13.95" customHeight="1">
      <c r="A10" s="13" t="s">
        <v>41</v>
      </c>
      <c r="B10" s="13">
        <f>SUMIF('Women International'!C4:C50,"BMF",'Women International'!J4:J50)</f>
        <v>0</v>
      </c>
    </row>
    <row r="11" spans="1:2" ht="13.95" customHeight="1">
      <c r="A11" s="13" t="s">
        <v>42</v>
      </c>
      <c r="B11" s="13">
        <f>SUMIF('Women International'!C4:C50,"CMA",'Women International'!J4:J50)</f>
        <v>0</v>
      </c>
    </row>
    <row r="12" spans="1:2" ht="13.5" customHeight="1">
      <c r="A12" s="13" t="s">
        <v>25</v>
      </c>
      <c r="B12" s="13">
        <f>SUMIF('Women International'!C4:C50,"CTMSA",'Women International'!J4:J50)</f>
        <v>0</v>
      </c>
    </row>
    <row r="13" spans="1:2" ht="13.5" customHeight="1">
      <c r="A13" s="13" t="s">
        <v>43</v>
      </c>
      <c r="B13" s="13">
        <f>SUMIF('Women International'!C4:C50,"CYMF",'Women International'!J4:J50)</f>
        <v>0</v>
      </c>
    </row>
    <row r="14" spans="1:2" ht="13.5" customHeight="1">
      <c r="A14" s="13" t="s">
        <v>11</v>
      </c>
      <c r="B14" s="13">
        <f>SUMIF('Women International'!C4:C50,"DMSB",'Women International'!J4:J50)</f>
        <v>0</v>
      </c>
    </row>
    <row r="15" spans="1:2" ht="13.5" customHeight="1">
      <c r="A15" s="13" t="s">
        <v>23</v>
      </c>
      <c r="B15" s="13">
        <f>SUMIF('Women International'!C4:C50,"DMU",'Women International'!J4:J50)</f>
        <v>0</v>
      </c>
    </row>
    <row r="16" spans="1:2" ht="13.5" customHeight="1">
      <c r="A16" s="13" t="s">
        <v>22</v>
      </c>
      <c r="B16" s="13">
        <f>SUMIF('Women International'!C4:C50,"EMF",'Women International'!J4:J50)</f>
        <v>0</v>
      </c>
    </row>
    <row r="17" spans="1:2" ht="13.5" customHeight="1">
      <c r="A17" s="13" t="s">
        <v>16</v>
      </c>
      <c r="B17" s="13">
        <f>SUMIF('Women International'!C4:C50,"FFM",'Women International'!J4:J50)</f>
        <v>200</v>
      </c>
    </row>
    <row r="18" spans="1:2" ht="13.5" customHeight="1">
      <c r="A18" s="13" t="s">
        <v>44</v>
      </c>
      <c r="B18" s="13">
        <f>SUMIF('Women International'!C4:C50,"FMA",'Women International'!J4:J50)</f>
        <v>145</v>
      </c>
    </row>
    <row r="19" spans="1:2" ht="13.5" customHeight="1">
      <c r="A19" s="13" t="s">
        <v>20</v>
      </c>
      <c r="B19" s="13">
        <f>SUMIF('Women International'!C4:C50,"FMB",'Women International'!J4:J50)</f>
        <v>0</v>
      </c>
    </row>
    <row r="20" spans="1:2" ht="13.5" customHeight="1">
      <c r="A20" s="13" t="s">
        <v>7</v>
      </c>
      <c r="B20" s="13">
        <f>SUMIF('Women International'!C4:C50,"FMI",'Women International'!J4:J50)</f>
        <v>0</v>
      </c>
    </row>
    <row r="21" spans="1:2" ht="13.5" customHeight="1">
      <c r="A21" s="13" t="s">
        <v>45</v>
      </c>
      <c r="B21" s="13">
        <f>SUMIF('Women International'!C4:C50,"FMP",'Women International'!J4:J50)</f>
        <v>0</v>
      </c>
    </row>
    <row r="22" spans="1:2" ht="13.5" customHeight="1">
      <c r="A22" s="13" t="s">
        <v>46</v>
      </c>
      <c r="B22" s="13">
        <f>SUMIF('Women International'!C4:C50,"FMRM",'Women International'!J4:J50)</f>
        <v>0</v>
      </c>
    </row>
    <row r="23" spans="1:2" ht="13.5" customHeight="1">
      <c r="A23" s="13" t="s">
        <v>47</v>
      </c>
      <c r="B23" s="13">
        <f>SUMIF('Women International'!C4:C50,"FMS",'Women International'!J4:J50)</f>
        <v>55</v>
      </c>
    </row>
    <row r="24" spans="1:2" ht="13.5" customHeight="1">
      <c r="A24" s="13" t="s">
        <v>48</v>
      </c>
      <c r="B24" s="13">
        <f>SUMIF('Women International'!C4:C50,"FMU",'Women International'!J4:J50)</f>
        <v>0</v>
      </c>
    </row>
    <row r="25" spans="1:2" ht="13.5" customHeight="1">
      <c r="A25" s="13" t="s">
        <v>49</v>
      </c>
      <c r="B25" s="13">
        <f>SUMIF('Women International'!C4:C50,"FRM",'Women International'!J4:J50)</f>
        <v>0</v>
      </c>
    </row>
    <row r="26" spans="1:2" ht="13.5" customHeight="1">
      <c r="A26" s="13" t="s">
        <v>17</v>
      </c>
      <c r="B26" s="13">
        <f>SUMIF('Women International'!C4:C50,"KNMV",'Women International'!J4:J50)</f>
        <v>0</v>
      </c>
    </row>
    <row r="27" spans="1:2" ht="13.5" customHeight="1">
      <c r="A27" s="13" t="s">
        <v>61</v>
      </c>
      <c r="B27" s="13">
        <f>SUMIF('Women International'!C4:C50,"LaMSF",'Women International'!J4:J50)</f>
        <v>0</v>
      </c>
    </row>
    <row r="28" spans="1:2" ht="13.5" customHeight="1">
      <c r="A28" s="13" t="s">
        <v>50</v>
      </c>
      <c r="B28" s="13">
        <f>SUMIF('Women International'!C4:C50,"LMSF",'Women International'!J4:J50)</f>
        <v>0</v>
      </c>
    </row>
    <row r="29" spans="1:2" ht="13.5" customHeight="1">
      <c r="A29" s="13" t="s">
        <v>24</v>
      </c>
      <c r="B29" s="13">
        <f>SUMIF('Women International'!C4:C50,"MA",'Women International'!J4:J50)</f>
        <v>0</v>
      </c>
    </row>
    <row r="30" spans="1:2" ht="13.5" customHeight="1">
      <c r="A30" s="13" t="s">
        <v>51</v>
      </c>
      <c r="B30" s="13">
        <f>SUMIF('Women International'!C4:C50,"MAMS",'Women International'!J4:J50)</f>
        <v>0</v>
      </c>
    </row>
    <row r="31" spans="1:2" ht="13.5" customHeight="1">
      <c r="A31" s="13" t="s">
        <v>52</v>
      </c>
      <c r="B31" s="13">
        <f>SUMIF('Women International'!C4:C50,"MCM",'Women International'!J4:J50)</f>
        <v>0</v>
      </c>
    </row>
    <row r="32" spans="1:2" ht="13.5" customHeight="1">
      <c r="A32" s="13" t="s">
        <v>53</v>
      </c>
      <c r="B32" s="13">
        <f>SUMIF('Women International'!C4:C50,"MCUI",'Women International'!J4:J50)</f>
        <v>0</v>
      </c>
    </row>
    <row r="33" spans="1:2" ht="13.5" customHeight="1">
      <c r="A33" s="13" t="s">
        <v>54</v>
      </c>
      <c r="B33" s="13">
        <f>SUMIF('Women International'!C4:C50,"FMJ",'Women International'!J4:J50)</f>
        <v>0</v>
      </c>
    </row>
    <row r="34" spans="1:2" ht="13.5" customHeight="1">
      <c r="A34" s="13" t="s">
        <v>55</v>
      </c>
      <c r="B34" s="13">
        <f>SUMIF('Women International'!C4:C50,"MFR",'Women International'!J4:J50)</f>
        <v>0</v>
      </c>
    </row>
    <row r="35" spans="1:2" ht="13.5" customHeight="1">
      <c r="A35" s="13" t="s">
        <v>56</v>
      </c>
      <c r="B35" s="13">
        <f>SUMIF('Women International'!C4:C50,"MSI",'Women International'!J4:J50)</f>
        <v>0</v>
      </c>
    </row>
    <row r="36" spans="1:2" ht="13.5" customHeight="1">
      <c r="A36" s="13" t="s">
        <v>57</v>
      </c>
      <c r="B36" s="13">
        <f>SUMIF('Women International'!C4:C50,"MUL",'Women International'!J4:J50)</f>
        <v>0</v>
      </c>
    </row>
    <row r="37" spans="1:2" ht="13.5" customHeight="1">
      <c r="A37" s="13" t="s">
        <v>10</v>
      </c>
      <c r="B37" s="13">
        <f>SUMIF('Women International'!C4:C50,"NMF",'Women International'!J4:J50)</f>
        <v>0</v>
      </c>
    </row>
    <row r="38" spans="1:2" ht="13.5" customHeight="1">
      <c r="A38" s="13" t="s">
        <v>62</v>
      </c>
      <c r="B38" s="13">
        <f>SUMIF('Women International'!C4:C50,"AMF",'Women International'!J4:J50)</f>
        <v>0</v>
      </c>
    </row>
    <row r="39" spans="1:2" ht="13.5" customHeight="1">
      <c r="A39" s="13" t="s">
        <v>12</v>
      </c>
      <c r="B39" s="13">
        <f>SUMIF('Women International'!C4:C50,"PZM",'Women International'!J4:J50)</f>
        <v>0</v>
      </c>
    </row>
    <row r="40" spans="1:2" ht="13.5" customHeight="1">
      <c r="A40" s="13" t="s">
        <v>8</v>
      </c>
      <c r="B40" s="13">
        <f>SUMIF('Women International'!C4:C50,"RFME",'Women International'!J4:J50)</f>
        <v>300</v>
      </c>
    </row>
    <row r="41" spans="1:2" ht="13.5" customHeight="1">
      <c r="A41" s="13" t="s">
        <v>19</v>
      </c>
      <c r="B41" s="13">
        <f>SUMIF('Women International'!C4:C50,"SMF",'Women International'!J4:J50)</f>
        <v>0</v>
      </c>
    </row>
    <row r="42" spans="1:2" ht="13.5" customHeight="1">
      <c r="A42" s="13" t="s">
        <v>15</v>
      </c>
      <c r="B42" s="13">
        <f>SUMIF('Women International'!C4:C50,"SML",'Women International'!J4:J50)</f>
        <v>0</v>
      </c>
    </row>
    <row r="43" spans="1:2" ht="13.5" customHeight="1">
      <c r="A43" s="13" t="s">
        <v>6</v>
      </c>
      <c r="B43" s="13">
        <f>SUMIF('Women International'!C4:C50,"SVEMO",'Women International'!J4:J50)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W54"/>
  <sheetViews>
    <sheetView showGridLines="0" zoomScale="125" zoomScaleNormal="125" workbookViewId="0">
      <selection activeCell="B5" sqref="B5"/>
    </sheetView>
  </sheetViews>
  <sheetFormatPr defaultColWidth="4.15234375" defaultRowHeight="13.5" customHeight="1"/>
  <cols>
    <col min="1" max="1" width="4.15234375" style="13" customWidth="1"/>
    <col min="2" max="2" width="19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1328125" style="13" customWidth="1"/>
    <col min="8" max="8" width="10.23046875" style="13" customWidth="1"/>
    <col min="9" max="9" width="9.61328125" style="13" customWidth="1"/>
    <col min="10" max="10" width="5.23046875" style="13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73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132" t="s">
        <v>2</v>
      </c>
      <c r="C2" s="132" t="s">
        <v>3</v>
      </c>
      <c r="D2" s="132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133"/>
      <c r="C3" s="133"/>
      <c r="D3" s="133"/>
      <c r="E3" s="104" t="s">
        <v>63</v>
      </c>
      <c r="F3" s="105" t="s">
        <v>64</v>
      </c>
      <c r="G3" s="105" t="s">
        <v>65</v>
      </c>
      <c r="H3" s="105" t="s">
        <v>205</v>
      </c>
      <c r="I3" s="104" t="s">
        <v>66</v>
      </c>
      <c r="J3" s="57" t="s">
        <v>5</v>
      </c>
    </row>
    <row r="4" spans="1:13" ht="13.95" customHeight="1">
      <c r="A4" s="90"/>
      <c r="B4" s="90"/>
      <c r="C4" s="90"/>
      <c r="D4" s="90"/>
      <c r="E4" s="93"/>
      <c r="F4" s="94"/>
      <c r="G4" s="94"/>
      <c r="H4" s="94"/>
      <c r="I4" s="94"/>
      <c r="J4" s="95"/>
    </row>
    <row r="5" spans="1:13" ht="16.95" customHeight="1">
      <c r="A5" s="58">
        <v>1</v>
      </c>
      <c r="B5" s="77" t="s">
        <v>144</v>
      </c>
      <c r="C5" s="89" t="s">
        <v>14</v>
      </c>
      <c r="D5" s="89" t="s">
        <v>79</v>
      </c>
      <c r="E5" s="63">
        <v>100</v>
      </c>
      <c r="F5" s="29">
        <v>100</v>
      </c>
      <c r="G5" s="42">
        <v>100</v>
      </c>
      <c r="H5" s="63"/>
      <c r="I5" s="29"/>
      <c r="J5" s="30">
        <f t="shared" ref="J5:J22" si="0">SUM(E5:I5)</f>
        <v>300</v>
      </c>
    </row>
    <row r="6" spans="1:13" ht="16.95" customHeight="1">
      <c r="A6" s="58">
        <v>2</v>
      </c>
      <c r="B6" s="74" t="s">
        <v>145</v>
      </c>
      <c r="C6" s="89" t="s">
        <v>8</v>
      </c>
      <c r="D6" s="89" t="s">
        <v>84</v>
      </c>
      <c r="E6" s="63">
        <v>85</v>
      </c>
      <c r="F6" s="29">
        <v>85</v>
      </c>
      <c r="G6" s="42">
        <v>85</v>
      </c>
      <c r="H6" s="63"/>
      <c r="I6" s="29"/>
      <c r="J6" s="30">
        <f t="shared" si="0"/>
        <v>255</v>
      </c>
    </row>
    <row r="7" spans="1:13" ht="16.95" customHeight="1">
      <c r="A7" s="58">
        <v>3</v>
      </c>
      <c r="B7" s="75" t="s">
        <v>147</v>
      </c>
      <c r="C7" s="89" t="s">
        <v>11</v>
      </c>
      <c r="D7" s="89" t="s">
        <v>102</v>
      </c>
      <c r="E7" s="63">
        <v>70</v>
      </c>
      <c r="F7" s="29">
        <v>55</v>
      </c>
      <c r="G7" s="42">
        <v>60</v>
      </c>
      <c r="H7" s="63"/>
      <c r="I7" s="29"/>
      <c r="J7" s="30">
        <f t="shared" si="0"/>
        <v>185</v>
      </c>
      <c r="M7" s="14"/>
    </row>
    <row r="8" spans="1:13" ht="16.95" customHeight="1">
      <c r="A8" s="58">
        <v>4</v>
      </c>
      <c r="B8" s="74" t="s">
        <v>146</v>
      </c>
      <c r="C8" s="89" t="s">
        <v>10</v>
      </c>
      <c r="D8" s="89" t="s">
        <v>79</v>
      </c>
      <c r="E8" s="63">
        <v>60</v>
      </c>
      <c r="F8" s="29">
        <v>50</v>
      </c>
      <c r="G8" s="42">
        <v>70</v>
      </c>
      <c r="H8" s="63"/>
      <c r="I8" s="29"/>
      <c r="J8" s="30">
        <f t="shared" si="0"/>
        <v>180</v>
      </c>
    </row>
    <row r="9" spans="1:13" ht="16.95" customHeight="1">
      <c r="A9" s="58">
        <v>5</v>
      </c>
      <c r="B9" s="75" t="s">
        <v>153</v>
      </c>
      <c r="C9" s="89" t="s">
        <v>16</v>
      </c>
      <c r="D9" s="89" t="s">
        <v>82</v>
      </c>
      <c r="E9" s="63">
        <v>45</v>
      </c>
      <c r="F9" s="29">
        <v>45</v>
      </c>
      <c r="G9" s="42">
        <v>55</v>
      </c>
      <c r="H9" s="63"/>
      <c r="I9" s="29"/>
      <c r="J9" s="30">
        <f t="shared" si="0"/>
        <v>145</v>
      </c>
    </row>
    <row r="10" spans="1:13" ht="16.95" customHeight="1">
      <c r="A10" s="58">
        <v>6</v>
      </c>
      <c r="B10" s="74" t="s">
        <v>157</v>
      </c>
      <c r="C10" s="89" t="s">
        <v>16</v>
      </c>
      <c r="D10" s="89" t="s">
        <v>82</v>
      </c>
      <c r="E10" s="63">
        <v>40</v>
      </c>
      <c r="F10" s="29">
        <v>35</v>
      </c>
      <c r="G10" s="42">
        <v>50</v>
      </c>
      <c r="H10" s="63"/>
      <c r="I10" s="29"/>
      <c r="J10" s="30">
        <f t="shared" si="0"/>
        <v>125</v>
      </c>
    </row>
    <row r="11" spans="1:13" ht="16.95" customHeight="1">
      <c r="A11" s="58">
        <v>7</v>
      </c>
      <c r="B11" s="74" t="s">
        <v>162</v>
      </c>
      <c r="C11" s="89" t="s">
        <v>6</v>
      </c>
      <c r="D11" s="89" t="s">
        <v>84</v>
      </c>
      <c r="E11" s="63">
        <v>35</v>
      </c>
      <c r="F11" s="29">
        <v>20</v>
      </c>
      <c r="G11" s="42">
        <v>45</v>
      </c>
      <c r="H11" s="63"/>
      <c r="I11" s="29"/>
      <c r="J11" s="30">
        <f t="shared" si="0"/>
        <v>100</v>
      </c>
    </row>
    <row r="12" spans="1:13" ht="16.95" customHeight="1">
      <c r="A12" s="58">
        <v>8</v>
      </c>
      <c r="B12" s="74" t="s">
        <v>148</v>
      </c>
      <c r="C12" s="89" t="s">
        <v>7</v>
      </c>
      <c r="D12" s="89" t="s">
        <v>84</v>
      </c>
      <c r="E12" s="63">
        <v>55</v>
      </c>
      <c r="F12" s="29">
        <v>40</v>
      </c>
      <c r="G12" s="42"/>
      <c r="H12" s="63"/>
      <c r="I12" s="29"/>
      <c r="J12" s="30">
        <f t="shared" si="0"/>
        <v>95</v>
      </c>
      <c r="M12" s="14"/>
    </row>
    <row r="13" spans="1:13" ht="16.95" customHeight="1">
      <c r="A13" s="58">
        <v>9</v>
      </c>
      <c r="B13" s="74" t="s">
        <v>163</v>
      </c>
      <c r="C13" s="89" t="s">
        <v>16</v>
      </c>
      <c r="D13" s="89" t="s">
        <v>87</v>
      </c>
      <c r="E13" s="63">
        <v>50</v>
      </c>
      <c r="F13" s="29">
        <v>25</v>
      </c>
      <c r="G13" s="42"/>
      <c r="H13" s="63"/>
      <c r="I13" s="29"/>
      <c r="J13" s="30">
        <f t="shared" si="0"/>
        <v>75</v>
      </c>
    </row>
    <row r="14" spans="1:13" ht="16.95" customHeight="1">
      <c r="A14" s="58">
        <v>10</v>
      </c>
      <c r="B14" s="74" t="s">
        <v>159</v>
      </c>
      <c r="C14" s="89" t="s">
        <v>16</v>
      </c>
      <c r="D14" s="89" t="s">
        <v>160</v>
      </c>
      <c r="E14" s="68">
        <v>25</v>
      </c>
      <c r="F14" s="29">
        <v>14</v>
      </c>
      <c r="G14" s="42">
        <v>35</v>
      </c>
      <c r="H14" s="63"/>
      <c r="I14" s="29"/>
      <c r="J14" s="30">
        <f t="shared" si="0"/>
        <v>74</v>
      </c>
    </row>
    <row r="15" spans="1:13" ht="16.95" customHeight="1">
      <c r="A15" s="58">
        <v>11</v>
      </c>
      <c r="B15" s="74" t="s">
        <v>108</v>
      </c>
      <c r="C15" s="89" t="s">
        <v>11</v>
      </c>
      <c r="D15" s="89" t="s">
        <v>79</v>
      </c>
      <c r="E15" s="63">
        <v>30</v>
      </c>
      <c r="F15" s="29">
        <v>12</v>
      </c>
      <c r="G15" s="42">
        <v>30</v>
      </c>
      <c r="H15" s="63"/>
      <c r="I15" s="29"/>
      <c r="J15" s="30">
        <f t="shared" si="0"/>
        <v>72</v>
      </c>
    </row>
    <row r="16" spans="1:13" ht="16.95" customHeight="1">
      <c r="A16" s="58">
        <v>12</v>
      </c>
      <c r="B16" s="74" t="s">
        <v>176</v>
      </c>
      <c r="C16" s="89" t="s">
        <v>62</v>
      </c>
      <c r="D16" s="89" t="s">
        <v>84</v>
      </c>
      <c r="E16" s="63"/>
      <c r="F16" s="29">
        <v>70</v>
      </c>
      <c r="G16" s="42"/>
      <c r="H16" s="63"/>
      <c r="I16" s="29"/>
      <c r="J16" s="30">
        <f t="shared" si="0"/>
        <v>70</v>
      </c>
    </row>
    <row r="17" spans="1:10" ht="16.95" customHeight="1">
      <c r="A17" s="58">
        <v>13</v>
      </c>
      <c r="B17" s="74" t="s">
        <v>177</v>
      </c>
      <c r="C17" s="89" t="s">
        <v>16</v>
      </c>
      <c r="D17" s="89" t="s">
        <v>79</v>
      </c>
      <c r="E17" s="63"/>
      <c r="F17" s="29">
        <v>60</v>
      </c>
      <c r="G17" s="42"/>
      <c r="H17" s="63"/>
      <c r="I17" s="29"/>
      <c r="J17" s="30">
        <f t="shared" si="0"/>
        <v>60</v>
      </c>
    </row>
    <row r="18" spans="1:10" ht="16.95" customHeight="1">
      <c r="A18" s="58">
        <v>14</v>
      </c>
      <c r="B18" s="74" t="s">
        <v>149</v>
      </c>
      <c r="C18" s="89" t="s">
        <v>11</v>
      </c>
      <c r="D18" s="89" t="s">
        <v>84</v>
      </c>
      <c r="E18" s="63">
        <v>22</v>
      </c>
      <c r="F18" s="29">
        <v>10</v>
      </c>
      <c r="G18" s="42">
        <v>25</v>
      </c>
      <c r="H18" s="63"/>
      <c r="I18" s="29"/>
      <c r="J18" s="30">
        <f t="shared" si="0"/>
        <v>57</v>
      </c>
    </row>
    <row r="19" spans="1:10" ht="16.95" customHeight="1">
      <c r="A19" s="58">
        <v>15</v>
      </c>
      <c r="B19" s="74" t="s">
        <v>150</v>
      </c>
      <c r="C19" s="89" t="s">
        <v>8</v>
      </c>
      <c r="D19" s="89" t="s">
        <v>84</v>
      </c>
      <c r="E19" s="63"/>
      <c r="F19" s="29">
        <v>16</v>
      </c>
      <c r="G19" s="42">
        <v>40</v>
      </c>
      <c r="H19" s="63"/>
      <c r="I19" s="29"/>
      <c r="J19" s="30">
        <f t="shared" si="0"/>
        <v>56</v>
      </c>
    </row>
    <row r="20" spans="1:10" ht="16.95" customHeight="1">
      <c r="A20" s="58">
        <v>16</v>
      </c>
      <c r="B20" s="74" t="s">
        <v>178</v>
      </c>
      <c r="C20" s="89" t="s">
        <v>6</v>
      </c>
      <c r="D20" s="89" t="s">
        <v>84</v>
      </c>
      <c r="E20" s="63"/>
      <c r="F20" s="29">
        <v>30</v>
      </c>
      <c r="G20" s="42"/>
      <c r="H20" s="63"/>
      <c r="I20" s="29"/>
      <c r="J20" s="30">
        <f t="shared" si="0"/>
        <v>30</v>
      </c>
    </row>
    <row r="21" spans="1:10" ht="16.95" customHeight="1">
      <c r="A21" s="58">
        <v>17</v>
      </c>
      <c r="B21" s="74" t="s">
        <v>179</v>
      </c>
      <c r="C21" s="89" t="s">
        <v>16</v>
      </c>
      <c r="D21" s="89" t="s">
        <v>114</v>
      </c>
      <c r="E21" s="63"/>
      <c r="F21" s="29">
        <v>22</v>
      </c>
      <c r="G21" s="42"/>
      <c r="H21" s="63"/>
      <c r="I21" s="29"/>
      <c r="J21" s="30">
        <f t="shared" si="0"/>
        <v>22</v>
      </c>
    </row>
    <row r="22" spans="1:10" ht="16.95" customHeight="1">
      <c r="A22" s="58">
        <v>18</v>
      </c>
      <c r="B22" s="74" t="s">
        <v>180</v>
      </c>
      <c r="C22" s="89" t="s">
        <v>16</v>
      </c>
      <c r="D22" s="89" t="s">
        <v>79</v>
      </c>
      <c r="E22" s="63"/>
      <c r="F22" s="29">
        <v>18</v>
      </c>
      <c r="G22" s="42"/>
      <c r="H22" s="63"/>
      <c r="I22" s="29"/>
      <c r="J22" s="30">
        <f t="shared" si="0"/>
        <v>18</v>
      </c>
    </row>
    <row r="23" spans="1:10" ht="16.95" customHeight="1">
      <c r="A23" s="58">
        <v>19</v>
      </c>
      <c r="B23" s="74"/>
      <c r="C23" s="89"/>
      <c r="D23" s="89"/>
      <c r="E23" s="63"/>
      <c r="F23" s="29"/>
      <c r="G23" s="42"/>
      <c r="H23" s="63"/>
      <c r="I23" s="29"/>
      <c r="J23" s="30">
        <f t="shared" ref="J23:J28" si="1">SUM(E23:I23)</f>
        <v>0</v>
      </c>
    </row>
    <row r="24" spans="1:10" ht="16.95" customHeight="1">
      <c r="A24" s="58">
        <v>20</v>
      </c>
      <c r="B24" s="74"/>
      <c r="C24" s="89"/>
      <c r="D24" s="89"/>
      <c r="E24" s="63"/>
      <c r="F24" s="42"/>
      <c r="G24" s="42"/>
      <c r="H24" s="63"/>
      <c r="I24" s="42"/>
      <c r="J24" s="43">
        <f t="shared" si="1"/>
        <v>0</v>
      </c>
    </row>
    <row r="25" spans="1:10" ht="16.95" customHeight="1">
      <c r="A25" s="48">
        <v>21</v>
      </c>
      <c r="B25" s="74"/>
      <c r="C25" s="89"/>
      <c r="D25" s="89"/>
      <c r="E25" s="63"/>
      <c r="F25" s="42"/>
      <c r="G25" s="42"/>
      <c r="H25" s="63"/>
      <c r="I25" s="42"/>
      <c r="J25" s="43">
        <f t="shared" si="1"/>
        <v>0</v>
      </c>
    </row>
    <row r="26" spans="1:10" ht="16.95" customHeight="1">
      <c r="A26" s="48">
        <v>22</v>
      </c>
      <c r="B26" s="74"/>
      <c r="C26" s="89"/>
      <c r="D26" s="89"/>
      <c r="E26" s="63"/>
      <c r="F26" s="63"/>
      <c r="G26" s="63"/>
      <c r="H26" s="63"/>
      <c r="I26" s="63"/>
      <c r="J26" s="64">
        <f t="shared" si="1"/>
        <v>0</v>
      </c>
    </row>
    <row r="27" spans="1:10" ht="16.95" customHeight="1">
      <c r="A27" s="48">
        <v>23</v>
      </c>
      <c r="B27" s="74"/>
      <c r="C27" s="89"/>
      <c r="D27" s="89"/>
      <c r="E27" s="63"/>
      <c r="F27" s="63"/>
      <c r="G27" s="63"/>
      <c r="H27" s="63"/>
      <c r="I27" s="63"/>
      <c r="J27" s="64">
        <f t="shared" si="1"/>
        <v>0</v>
      </c>
    </row>
    <row r="28" spans="1:10" ht="16.95" customHeight="1">
      <c r="A28" s="59">
        <v>24</v>
      </c>
      <c r="B28" s="74"/>
      <c r="C28" s="89"/>
      <c r="D28" s="89"/>
      <c r="E28" s="63"/>
      <c r="F28" s="63"/>
      <c r="G28" s="63"/>
      <c r="H28" s="63"/>
      <c r="I28" s="63"/>
      <c r="J28" s="64">
        <f t="shared" si="1"/>
        <v>0</v>
      </c>
    </row>
    <row r="29" spans="1:10" ht="16.95" customHeight="1">
      <c r="A29" s="59">
        <v>25</v>
      </c>
      <c r="B29" s="76"/>
      <c r="C29" s="97"/>
      <c r="D29" s="97"/>
      <c r="E29" s="65"/>
      <c r="F29" s="65"/>
      <c r="G29" s="65"/>
      <c r="H29" s="65"/>
      <c r="I29" s="65"/>
      <c r="J29" s="64">
        <f t="shared" ref="J29:J31" si="2">SUM(E29:I29)</f>
        <v>0</v>
      </c>
    </row>
    <row r="30" spans="1:10" ht="16.95" customHeight="1">
      <c r="A30" s="59">
        <v>26</v>
      </c>
      <c r="B30" s="81"/>
      <c r="C30" s="91"/>
      <c r="D30" s="91"/>
      <c r="E30" s="68"/>
      <c r="F30" s="68"/>
      <c r="G30" s="68"/>
      <c r="H30" s="68"/>
      <c r="I30" s="68"/>
      <c r="J30" s="64">
        <f t="shared" si="2"/>
        <v>0</v>
      </c>
    </row>
    <row r="31" spans="1:10" ht="16.95" customHeight="1">
      <c r="A31" s="59">
        <v>27</v>
      </c>
      <c r="B31" s="74"/>
      <c r="C31" s="89"/>
      <c r="D31" s="89"/>
      <c r="E31" s="63"/>
      <c r="F31" s="63"/>
      <c r="G31" s="63"/>
      <c r="H31" s="63"/>
      <c r="I31" s="63"/>
      <c r="J31" s="64">
        <f t="shared" si="2"/>
        <v>0</v>
      </c>
    </row>
    <row r="32" spans="1:10" ht="16.95" customHeight="1">
      <c r="A32" s="59">
        <v>28</v>
      </c>
      <c r="B32" s="77"/>
      <c r="C32" s="92"/>
      <c r="D32" s="92"/>
      <c r="E32" s="20"/>
      <c r="F32" s="29"/>
      <c r="G32" s="42"/>
      <c r="H32" s="63"/>
      <c r="I32" s="29"/>
      <c r="J32" s="30">
        <f t="shared" ref="J32:J53" si="3">SUM(E32:I32)</f>
        <v>0</v>
      </c>
    </row>
    <row r="33" spans="1:10" ht="16.95" customHeight="1">
      <c r="A33" s="58">
        <v>29</v>
      </c>
      <c r="B33" s="77"/>
      <c r="C33" s="92"/>
      <c r="D33" s="92"/>
      <c r="E33" s="20"/>
      <c r="F33" s="29"/>
      <c r="G33" s="42"/>
      <c r="H33" s="63"/>
      <c r="I33" s="29"/>
      <c r="J33" s="30">
        <f t="shared" si="3"/>
        <v>0</v>
      </c>
    </row>
    <row r="34" spans="1:10" ht="16.95" customHeight="1">
      <c r="A34" s="58">
        <v>30</v>
      </c>
      <c r="B34" s="77"/>
      <c r="C34" s="96"/>
      <c r="D34" s="96"/>
      <c r="E34" s="29"/>
      <c r="F34" s="29"/>
      <c r="G34" s="42"/>
      <c r="H34" s="63"/>
      <c r="I34" s="29"/>
      <c r="J34" s="30">
        <f t="shared" si="3"/>
        <v>0</v>
      </c>
    </row>
    <row r="35" spans="1:10" ht="16.95" customHeight="1">
      <c r="A35" s="58">
        <v>31</v>
      </c>
      <c r="B35" s="77"/>
      <c r="C35" s="96"/>
      <c r="D35" s="96"/>
      <c r="E35" s="29"/>
      <c r="F35" s="29"/>
      <c r="G35" s="42"/>
      <c r="H35" s="63"/>
      <c r="I35" s="29"/>
      <c r="J35" s="30">
        <f t="shared" si="3"/>
        <v>0</v>
      </c>
    </row>
    <row r="36" spans="1:10" ht="16.95" customHeight="1">
      <c r="A36" s="58">
        <v>32</v>
      </c>
      <c r="B36" s="77"/>
      <c r="C36" s="96"/>
      <c r="D36" s="96"/>
      <c r="E36" s="29"/>
      <c r="F36" s="29"/>
      <c r="G36" s="42"/>
      <c r="H36" s="63"/>
      <c r="I36" s="29"/>
      <c r="J36" s="30">
        <f t="shared" si="3"/>
        <v>0</v>
      </c>
    </row>
    <row r="37" spans="1:10" ht="16.95" customHeight="1">
      <c r="A37" s="58">
        <v>33</v>
      </c>
      <c r="B37" s="77"/>
      <c r="C37" s="96"/>
      <c r="D37" s="96"/>
      <c r="E37" s="29"/>
      <c r="F37" s="29"/>
      <c r="G37" s="42"/>
      <c r="H37" s="63"/>
      <c r="I37" s="29"/>
      <c r="J37" s="30">
        <f t="shared" si="3"/>
        <v>0</v>
      </c>
    </row>
    <row r="38" spans="1:10" ht="16.95" customHeight="1">
      <c r="A38" s="58">
        <v>34</v>
      </c>
      <c r="B38" s="77"/>
      <c r="C38" s="96"/>
      <c r="D38" s="96"/>
      <c r="E38" s="29"/>
      <c r="F38" s="29"/>
      <c r="G38" s="42"/>
      <c r="H38" s="63"/>
      <c r="I38" s="29"/>
      <c r="J38" s="30">
        <f t="shared" si="3"/>
        <v>0</v>
      </c>
    </row>
    <row r="39" spans="1:10" ht="16.95" customHeight="1">
      <c r="A39" s="58">
        <v>35</v>
      </c>
      <c r="B39" s="77"/>
      <c r="C39" s="96"/>
      <c r="D39" s="96"/>
      <c r="E39" s="29"/>
      <c r="F39" s="29"/>
      <c r="G39" s="42"/>
      <c r="H39" s="63"/>
      <c r="I39" s="29"/>
      <c r="J39" s="30">
        <f t="shared" si="3"/>
        <v>0</v>
      </c>
    </row>
    <row r="40" spans="1:10" ht="16.95" customHeight="1">
      <c r="A40" s="58">
        <v>36</v>
      </c>
      <c r="B40" s="77"/>
      <c r="C40" s="96"/>
      <c r="D40" s="96"/>
      <c r="E40" s="29"/>
      <c r="F40" s="29"/>
      <c r="G40" s="42"/>
      <c r="H40" s="63"/>
      <c r="I40" s="29"/>
      <c r="J40" s="30">
        <f t="shared" si="3"/>
        <v>0</v>
      </c>
    </row>
    <row r="41" spans="1:10" ht="16.95" customHeight="1">
      <c r="A41" s="58">
        <v>37</v>
      </c>
      <c r="B41" s="77"/>
      <c r="C41" s="32"/>
      <c r="D41" s="32"/>
      <c r="E41" s="29"/>
      <c r="F41" s="29"/>
      <c r="G41" s="42"/>
      <c r="H41" s="63"/>
      <c r="I41" s="29"/>
      <c r="J41" s="30">
        <f t="shared" si="3"/>
        <v>0</v>
      </c>
    </row>
    <row r="42" spans="1:10" ht="16.95" customHeight="1">
      <c r="A42" s="58">
        <v>38</v>
      </c>
      <c r="B42" s="77"/>
      <c r="C42" s="32"/>
      <c r="D42" s="32"/>
      <c r="E42" s="29"/>
      <c r="F42" s="29"/>
      <c r="G42" s="42"/>
      <c r="H42" s="63"/>
      <c r="I42" s="29"/>
      <c r="J42" s="30">
        <f t="shared" si="3"/>
        <v>0</v>
      </c>
    </row>
    <row r="43" spans="1:10" ht="16.95" customHeight="1">
      <c r="A43" s="58">
        <v>39</v>
      </c>
      <c r="B43" s="78"/>
      <c r="C43" s="28"/>
      <c r="D43" s="28"/>
      <c r="E43" s="29"/>
      <c r="F43" s="29"/>
      <c r="G43" s="42"/>
      <c r="H43" s="63"/>
      <c r="I43" s="29"/>
      <c r="J43" s="30">
        <f t="shared" si="3"/>
        <v>0</v>
      </c>
    </row>
    <row r="44" spans="1:10" ht="16.95" customHeight="1">
      <c r="A44" s="58">
        <v>40</v>
      </c>
      <c r="B44" s="77"/>
      <c r="C44" s="32"/>
      <c r="D44" s="32"/>
      <c r="E44" s="29"/>
      <c r="F44" s="29"/>
      <c r="G44" s="42"/>
      <c r="H44" s="63"/>
      <c r="I44" s="29"/>
      <c r="J44" s="30">
        <f t="shared" si="3"/>
        <v>0</v>
      </c>
    </row>
    <row r="45" spans="1:10" ht="16.95" customHeight="1">
      <c r="A45" s="58">
        <v>41</v>
      </c>
      <c r="B45" s="77"/>
      <c r="C45" s="32"/>
      <c r="D45" s="32"/>
      <c r="E45" s="29"/>
      <c r="F45" s="29"/>
      <c r="G45" s="42"/>
      <c r="H45" s="63"/>
      <c r="I45" s="29"/>
      <c r="J45" s="30">
        <f t="shared" si="3"/>
        <v>0</v>
      </c>
    </row>
    <row r="46" spans="1:10" ht="16.95" customHeight="1">
      <c r="A46" s="58">
        <v>42</v>
      </c>
      <c r="B46" s="77"/>
      <c r="C46" s="32"/>
      <c r="D46" s="32"/>
      <c r="E46" s="29"/>
      <c r="F46" s="29"/>
      <c r="G46" s="42"/>
      <c r="H46" s="63"/>
      <c r="I46" s="29"/>
      <c r="J46" s="30">
        <f t="shared" si="3"/>
        <v>0</v>
      </c>
    </row>
    <row r="47" spans="1:10" ht="16.95" customHeight="1">
      <c r="A47" s="58">
        <v>43</v>
      </c>
      <c r="B47" s="77"/>
      <c r="C47" s="32"/>
      <c r="D47" s="32"/>
      <c r="E47" s="29"/>
      <c r="F47" s="29"/>
      <c r="G47" s="42"/>
      <c r="H47" s="63"/>
      <c r="I47" s="29"/>
      <c r="J47" s="30">
        <f t="shared" si="3"/>
        <v>0</v>
      </c>
    </row>
    <row r="48" spans="1:10" ht="16.95" customHeight="1">
      <c r="A48" s="58">
        <v>44</v>
      </c>
      <c r="B48" s="77"/>
      <c r="C48" s="32"/>
      <c r="D48" s="32"/>
      <c r="E48" s="29"/>
      <c r="F48" s="29"/>
      <c r="G48" s="42"/>
      <c r="H48" s="63"/>
      <c r="I48" s="29"/>
      <c r="J48" s="30">
        <f t="shared" si="3"/>
        <v>0</v>
      </c>
    </row>
    <row r="49" spans="1:10" ht="16.95" customHeight="1">
      <c r="A49" s="58">
        <v>45</v>
      </c>
      <c r="B49" s="77"/>
      <c r="C49" s="32"/>
      <c r="D49" s="32"/>
      <c r="E49" s="29"/>
      <c r="F49" s="29"/>
      <c r="G49" s="42"/>
      <c r="H49" s="63"/>
      <c r="I49" s="29"/>
      <c r="J49" s="30">
        <f t="shared" si="3"/>
        <v>0</v>
      </c>
    </row>
    <row r="50" spans="1:10" ht="16.95" customHeight="1">
      <c r="A50" s="58">
        <v>46</v>
      </c>
      <c r="B50" s="77"/>
      <c r="C50" s="32"/>
      <c r="D50" s="32"/>
      <c r="E50" s="29"/>
      <c r="F50" s="29"/>
      <c r="G50" s="42"/>
      <c r="H50" s="63"/>
      <c r="I50" s="29"/>
      <c r="J50" s="30">
        <f t="shared" si="3"/>
        <v>0</v>
      </c>
    </row>
    <row r="51" spans="1:10" ht="16.95" customHeight="1">
      <c r="A51" s="58">
        <v>47</v>
      </c>
      <c r="B51" s="77"/>
      <c r="C51" s="32"/>
      <c r="D51" s="32"/>
      <c r="E51" s="29"/>
      <c r="F51" s="29"/>
      <c r="G51" s="42"/>
      <c r="H51" s="63"/>
      <c r="I51" s="29"/>
      <c r="J51" s="30">
        <f t="shared" si="3"/>
        <v>0</v>
      </c>
    </row>
    <row r="52" spans="1:10" ht="13.5" customHeight="1">
      <c r="A52" s="58">
        <v>48</v>
      </c>
      <c r="B52" s="69"/>
      <c r="C52" s="41"/>
      <c r="D52" s="41"/>
      <c r="E52" s="42"/>
      <c r="F52" s="42"/>
      <c r="G52" s="42"/>
      <c r="H52" s="63"/>
      <c r="I52" s="42"/>
      <c r="J52" s="43">
        <f t="shared" si="3"/>
        <v>0</v>
      </c>
    </row>
    <row r="53" spans="1:10" ht="13.5" customHeight="1">
      <c r="A53" s="85">
        <v>49</v>
      </c>
      <c r="B53" s="69"/>
      <c r="C53" s="41"/>
      <c r="D53" s="41"/>
      <c r="E53" s="42"/>
      <c r="F53" s="42"/>
      <c r="G53" s="42"/>
      <c r="H53" s="63"/>
      <c r="I53" s="42"/>
      <c r="J53" s="43">
        <f t="shared" si="3"/>
        <v>0</v>
      </c>
    </row>
    <row r="54" spans="1:10" ht="13.5" customHeight="1">
      <c r="A54" s="86"/>
    </row>
  </sheetData>
  <sheetProtection algorithmName="SHA-512" hashValue="Wu2dBYqw7LZOPronuGFTsnMf8HS70GYqY34UNQU64kB6zMEmuAq0GLDZv64iw2N+n1dJrJQlmkOYRuznZ4/d3A==" saltValue="bFkLcmrTwc2TYBTM7z7/SQ==" spinCount="100000" sheet="1" formatCells="0" formatColumns="0" selectLockedCells="1" sort="0" autoFilter="0"/>
  <sortState xmlns:xlrd2="http://schemas.microsoft.com/office/spreadsheetml/2017/richdata2" ref="B5:J22">
    <sortCondition descending="1" ref="J5:J22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SUMIF('Youth Championship'!C5:C50,"ACCR",'Youth Championship'!J5:J50)</f>
        <v>0</v>
      </c>
    </row>
    <row r="4" spans="1:2" ht="13.95" customHeight="1">
      <c r="A4" s="13" t="s">
        <v>14</v>
      </c>
      <c r="B4" s="13">
        <f>SUMIF('Youth Championship'!C5:C50,"ACU",'Youth Championship'!J5:J50)</f>
        <v>300</v>
      </c>
    </row>
    <row r="5" spans="1:2" ht="13.95" customHeight="1">
      <c r="A5" s="13" t="s">
        <v>37</v>
      </c>
      <c r="B5" s="13">
        <f>SUMIF('Youth Championship'!C5:C50,"AMA",'Youth Championship'!J5:J50)</f>
        <v>0</v>
      </c>
    </row>
    <row r="6" spans="1:2" ht="13.95" customHeight="1">
      <c r="A6" s="13" t="s">
        <v>38</v>
      </c>
      <c r="B6" s="13">
        <f>SUMIF('Youth Championship'!C5:C50,"AMOTOE",'Youth Championship'!J5:J50)</f>
        <v>0</v>
      </c>
    </row>
    <row r="7" spans="1:2" ht="13.95" customHeight="1">
      <c r="A7" s="13" t="s">
        <v>60</v>
      </c>
      <c r="B7" s="13">
        <f>SUMIF('Youth Championship'!C5:C50,"AMZS",'Youth Championship'!J5:J50)</f>
        <v>0</v>
      </c>
    </row>
    <row r="8" spans="1:2" ht="13.95" customHeight="1">
      <c r="A8" s="13" t="s">
        <v>39</v>
      </c>
      <c r="B8" s="13">
        <f>SUMIF('Youth Championship'!C5:C50,"BFMS",'Youth Championship'!J5:J50)</f>
        <v>0</v>
      </c>
    </row>
    <row r="9" spans="1:2" ht="13.95" customHeight="1">
      <c r="A9" s="13" t="s">
        <v>40</v>
      </c>
      <c r="B9" s="14">
        <f>SUMIF('Youth Championship'!C5:C50,"BIHAMK",'Youth Championship'!J5:J50)</f>
        <v>0</v>
      </c>
    </row>
    <row r="10" spans="1:2" ht="13.95" customHeight="1">
      <c r="A10" s="13" t="s">
        <v>41</v>
      </c>
      <c r="B10" s="13">
        <f>SUMIF('Youth Championship'!C5:C50,"BMF",'Youth Championship'!J5:J50)</f>
        <v>0</v>
      </c>
    </row>
    <row r="11" spans="1:2" ht="13.95" customHeight="1">
      <c r="A11" s="13" t="s">
        <v>42</v>
      </c>
      <c r="B11" s="13">
        <f>SUMIF('Youth Championship'!C5:C50,"CMA",'Youth Championship'!J5:J50)</f>
        <v>0</v>
      </c>
    </row>
    <row r="12" spans="1:2" ht="13.5" customHeight="1">
      <c r="A12" s="13" t="s">
        <v>25</v>
      </c>
      <c r="B12" s="13">
        <f>SUMIF('Youth Championship'!C5:C50,"CTMSA",'Youth Championship'!J5:J50)</f>
        <v>0</v>
      </c>
    </row>
    <row r="13" spans="1:2" ht="13.5" customHeight="1">
      <c r="A13" s="13" t="s">
        <v>43</v>
      </c>
      <c r="B13" s="13">
        <f>SUMIF('Youth Championship'!C5:C50,"CYMF",'Youth Championship'!J5:J50)</f>
        <v>0</v>
      </c>
    </row>
    <row r="14" spans="1:2" ht="13.5" customHeight="1">
      <c r="A14" s="13" t="s">
        <v>11</v>
      </c>
      <c r="B14" s="13">
        <f>SUMIF('Youth Championship'!C5:C50,"DMSB",'Youth Championship'!J5:J50)</f>
        <v>314</v>
      </c>
    </row>
    <row r="15" spans="1:2" ht="13.5" customHeight="1">
      <c r="A15" s="13" t="s">
        <v>23</v>
      </c>
      <c r="B15" s="13">
        <f>SUMIF('Youth Championship'!C5:C50,"DMU",'Youth Championship'!J5:J50)</f>
        <v>0</v>
      </c>
    </row>
    <row r="16" spans="1:2" ht="13.5" customHeight="1">
      <c r="A16" s="13" t="s">
        <v>22</v>
      </c>
      <c r="B16" s="13">
        <f>SUMIF('Youth Championship'!C5:C50,"EMF",'Youth Championship'!J5:J50)</f>
        <v>0</v>
      </c>
    </row>
    <row r="17" spans="1:2" ht="13.5" customHeight="1">
      <c r="A17" s="13" t="s">
        <v>16</v>
      </c>
      <c r="B17" s="13">
        <f>SUMIF('Youth Championship'!C5:C50,"FFM",'Youth Championship'!J5:J50)</f>
        <v>519</v>
      </c>
    </row>
    <row r="18" spans="1:2" ht="13.5" customHeight="1">
      <c r="A18" s="13" t="s">
        <v>44</v>
      </c>
      <c r="B18" s="13">
        <f>SUMIF('Youth Championship'!C5:C50,"FMA",'Youth Championship'!J5:J50)</f>
        <v>0</v>
      </c>
    </row>
    <row r="19" spans="1:2" ht="13.5" customHeight="1">
      <c r="A19" s="13" t="s">
        <v>20</v>
      </c>
      <c r="B19" s="13">
        <f>SUMIF('Youth Championship'!C5:C50,"FMB",'Youth Championship'!J5:J50)</f>
        <v>0</v>
      </c>
    </row>
    <row r="20" spans="1:2" ht="13.5" customHeight="1">
      <c r="A20" s="13" t="s">
        <v>7</v>
      </c>
      <c r="B20" s="13">
        <f>SUMIF('Youth Championship'!C5:C50,"FMI",'Youth Championship'!J5:J50)</f>
        <v>95</v>
      </c>
    </row>
    <row r="21" spans="1:2" ht="13.5" customHeight="1">
      <c r="A21" s="13" t="s">
        <v>45</v>
      </c>
      <c r="B21" s="13">
        <f>SUMIF('Youth Championship'!C5:C50,"FMP",'Youth Championship'!J5:J50)</f>
        <v>0</v>
      </c>
    </row>
    <row r="22" spans="1:2" ht="13.5" customHeight="1">
      <c r="A22" s="13" t="s">
        <v>46</v>
      </c>
      <c r="B22" s="13">
        <f>SUMIF('Youth Championship'!C5:C50,"FMRM",'Youth Championship'!J5:J50)</f>
        <v>0</v>
      </c>
    </row>
    <row r="23" spans="1:2" ht="13.5" customHeight="1">
      <c r="A23" s="13" t="s">
        <v>47</v>
      </c>
      <c r="B23" s="13">
        <f>SUMIF('Youth Championship'!C5:C50,"FMS",'Youth Championship'!J5:J50)</f>
        <v>0</v>
      </c>
    </row>
    <row r="24" spans="1:2" ht="13.5" customHeight="1">
      <c r="A24" s="13" t="s">
        <v>48</v>
      </c>
      <c r="B24" s="13">
        <f>SUMIF('Youth Championship'!C5:C50,"FMU",'Youth Championship'!J5:J50)</f>
        <v>0</v>
      </c>
    </row>
    <row r="25" spans="1:2" ht="13.5" customHeight="1">
      <c r="A25" s="13" t="s">
        <v>49</v>
      </c>
      <c r="B25" s="13">
        <f>SUMIF('Youth Championship'!C5:C50,"FRM",'Youth Championship'!J5:J50)</f>
        <v>0</v>
      </c>
    </row>
    <row r="26" spans="1:2" ht="13.5" customHeight="1">
      <c r="A26" s="13" t="s">
        <v>17</v>
      </c>
      <c r="B26" s="13">
        <f>SUMIF('Youth Championship'!C5:C50,"KNMV",'Youth Championship'!J5:J50)</f>
        <v>0</v>
      </c>
    </row>
    <row r="27" spans="1:2" ht="13.5" customHeight="1">
      <c r="A27" s="13" t="s">
        <v>61</v>
      </c>
      <c r="B27" s="13">
        <f>SUMIF('Youth Championship'!C5:C50,"LaMSF",'Youth Championship'!J5:J50)</f>
        <v>0</v>
      </c>
    </row>
    <row r="28" spans="1:2" ht="13.5" customHeight="1">
      <c r="A28" s="13" t="s">
        <v>50</v>
      </c>
      <c r="B28" s="13">
        <f>SUMIF('Youth Championship'!C5:C50,"LMSF",'Youth Championship'!J5:J50)</f>
        <v>0</v>
      </c>
    </row>
    <row r="29" spans="1:2" ht="13.5" customHeight="1">
      <c r="A29" s="13" t="s">
        <v>24</v>
      </c>
      <c r="B29" s="13">
        <f>SUMIF('Youth Championship'!C5:C50,"MA",'Youth Championship'!J5:J50)</f>
        <v>0</v>
      </c>
    </row>
    <row r="30" spans="1:2" ht="13.5" customHeight="1">
      <c r="A30" s="13" t="s">
        <v>51</v>
      </c>
      <c r="B30" s="13">
        <f>SUMIF('Youth Championship'!C5:C50,"MAMS",'Youth Championship'!J5:J50)</f>
        <v>0</v>
      </c>
    </row>
    <row r="31" spans="1:2" ht="13.5" customHeight="1">
      <c r="A31" s="13" t="s">
        <v>52</v>
      </c>
      <c r="B31" s="13">
        <f>SUMIF('Youth Championship'!C5:C50,"MCM",'Youth Championship'!J5:J50)</f>
        <v>0</v>
      </c>
    </row>
    <row r="32" spans="1:2" ht="13.5" customHeight="1">
      <c r="A32" s="13" t="s">
        <v>53</v>
      </c>
      <c r="B32" s="13">
        <f>SUMIF('Youth Championship'!C5:C50,"MCUI",'Youth Championship'!J5:J50)</f>
        <v>0</v>
      </c>
    </row>
    <row r="33" spans="1:2" ht="13.5" customHeight="1">
      <c r="A33" s="13" t="s">
        <v>54</v>
      </c>
      <c r="B33" s="13">
        <f>SUMIF('Youth Championship'!C5:C50,"FMJ",'Youth Championship'!J5:J50)</f>
        <v>0</v>
      </c>
    </row>
    <row r="34" spans="1:2" ht="13.5" customHeight="1">
      <c r="A34" s="13" t="s">
        <v>55</v>
      </c>
      <c r="B34" s="13">
        <f>SUMIF('Youth Championship'!C5:C50,"MFR",'Youth Championship'!J5:J50)</f>
        <v>0</v>
      </c>
    </row>
    <row r="35" spans="1:2" ht="13.5" customHeight="1">
      <c r="A35" s="13" t="s">
        <v>56</v>
      </c>
      <c r="B35" s="13">
        <f>SUMIF('Youth Championship'!C5:C50,"MSI",'Youth Championship'!J5:J50)</f>
        <v>0</v>
      </c>
    </row>
    <row r="36" spans="1:2" ht="13.5" customHeight="1">
      <c r="A36" s="13" t="s">
        <v>57</v>
      </c>
      <c r="B36" s="13">
        <f>SUMIF('Youth Championship'!C5:C50,"MUL",'Youth Championship'!J5:J50)</f>
        <v>0</v>
      </c>
    </row>
    <row r="37" spans="1:2" ht="13.5" customHeight="1">
      <c r="A37" s="13" t="s">
        <v>10</v>
      </c>
      <c r="B37" s="13">
        <f>SUMIF('Youth Championship'!C5:C50,"NMF",'Youth Championship'!J5:J50)</f>
        <v>180</v>
      </c>
    </row>
    <row r="38" spans="1:2" ht="13.5" customHeight="1">
      <c r="A38" s="13" t="s">
        <v>62</v>
      </c>
      <c r="B38" s="13">
        <f>SUMIF('Youth Championship'!C5:C50,"AMF",'Youth Championship'!J5:J50)</f>
        <v>70</v>
      </c>
    </row>
    <row r="39" spans="1:2" ht="13.5" customHeight="1">
      <c r="A39" s="13" t="s">
        <v>12</v>
      </c>
      <c r="B39" s="13">
        <f>SUMIF('Youth Championship'!C5:C50,"PZM",'Youth Championship'!J5:J50)</f>
        <v>0</v>
      </c>
    </row>
    <row r="40" spans="1:2" ht="13.5" customHeight="1">
      <c r="A40" s="13" t="s">
        <v>8</v>
      </c>
      <c r="B40" s="13">
        <f>SUMIF('Youth Championship'!C5:C50,"RFME",'Youth Championship'!J5:J50)</f>
        <v>311</v>
      </c>
    </row>
    <row r="41" spans="1:2" ht="13.5" customHeight="1">
      <c r="A41" s="13" t="s">
        <v>19</v>
      </c>
      <c r="B41" s="13">
        <f>SUMIF('Youth Championship'!C5:C50,"SMF",'Youth Championship'!J5:J50)</f>
        <v>0</v>
      </c>
    </row>
    <row r="42" spans="1:2" ht="13.5" customHeight="1">
      <c r="A42" s="13" t="s">
        <v>15</v>
      </c>
      <c r="B42" s="13">
        <f>SUMIF('Youth Championship'!C5:C50,"SML",'Youth Championship'!J5:J50)</f>
        <v>0</v>
      </c>
    </row>
    <row r="43" spans="1:2" ht="13.5" customHeight="1">
      <c r="A43" s="13" t="s">
        <v>6</v>
      </c>
      <c r="B43" s="13">
        <f>SUMIF('Youth Championship'!C5:C50,"SVEMO",'Youth Championship'!J5:J50)</f>
        <v>130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W55"/>
  <sheetViews>
    <sheetView showGridLines="0" tabSelected="1" zoomScale="125" zoomScaleNormal="125" workbookViewId="0">
      <selection activeCell="B5" sqref="B5"/>
    </sheetView>
  </sheetViews>
  <sheetFormatPr defaultColWidth="4.15234375" defaultRowHeight="13.5" customHeight="1"/>
  <cols>
    <col min="1" max="1" width="4.15234375" style="13" customWidth="1"/>
    <col min="2" max="2" width="20" style="13" customWidth="1"/>
    <col min="3" max="3" width="6.61328125" style="13" customWidth="1"/>
    <col min="4" max="4" width="7.61328125" style="13" customWidth="1"/>
    <col min="5" max="5" width="9.4609375" style="13" customWidth="1"/>
    <col min="6" max="7" width="9.61328125" style="13" customWidth="1"/>
    <col min="8" max="8" width="10.69140625" style="13" customWidth="1"/>
    <col min="9" max="9" width="11.61328125" style="13" customWidth="1"/>
    <col min="10" max="10" width="5.4609375" style="13" hidden="1" customWidth="1"/>
    <col min="11" max="11" width="4.15234375" style="13" customWidth="1"/>
    <col min="12" max="12" width="4.84375" style="13" customWidth="1"/>
    <col min="13" max="13" width="5" style="13" customWidth="1"/>
    <col min="14" max="257" width="4.15234375" style="13" customWidth="1"/>
    <col min="258" max="16384" width="4.15234375" style="1"/>
  </cols>
  <sheetData>
    <row r="1" spans="1:13" ht="35.549999999999997" customHeight="1">
      <c r="A1" s="109" t="s">
        <v>74</v>
      </c>
      <c r="B1" s="110"/>
      <c r="C1" s="110"/>
      <c r="D1" s="110"/>
      <c r="E1" s="110"/>
      <c r="F1" s="110"/>
      <c r="G1" s="131"/>
      <c r="H1" s="111"/>
      <c r="I1" s="110"/>
      <c r="J1" s="110"/>
    </row>
    <row r="2" spans="1:13" ht="24.75" customHeight="1">
      <c r="A2" s="132" t="s">
        <v>1</v>
      </c>
      <c r="B2" s="60" t="s">
        <v>2</v>
      </c>
      <c r="C2" s="60" t="s">
        <v>3</v>
      </c>
      <c r="D2" s="60" t="s">
        <v>4</v>
      </c>
      <c r="E2" s="103">
        <v>44661</v>
      </c>
      <c r="F2" s="50">
        <v>44668</v>
      </c>
      <c r="G2" s="50">
        <v>44780</v>
      </c>
      <c r="H2" s="50">
        <v>44787</v>
      </c>
      <c r="I2" s="103">
        <v>44815</v>
      </c>
      <c r="J2" s="57"/>
    </row>
    <row r="3" spans="1:13" ht="24" customHeight="1">
      <c r="A3" s="133"/>
      <c r="B3" s="61"/>
      <c r="C3" s="61"/>
      <c r="D3" s="61"/>
      <c r="E3" s="104" t="s">
        <v>63</v>
      </c>
      <c r="F3" s="105" t="s">
        <v>64</v>
      </c>
      <c r="G3" s="105" t="s">
        <v>65</v>
      </c>
      <c r="H3" s="105" t="s">
        <v>205</v>
      </c>
      <c r="I3" s="104" t="s">
        <v>66</v>
      </c>
      <c r="J3" s="57" t="s">
        <v>5</v>
      </c>
    </row>
    <row r="4" spans="1:13" ht="13.05" customHeight="1">
      <c r="A4" s="90"/>
      <c r="B4" s="90"/>
      <c r="C4" s="90"/>
      <c r="D4" s="90"/>
      <c r="E4" s="93"/>
      <c r="F4" s="94"/>
      <c r="G4" s="94"/>
      <c r="H4" s="94"/>
      <c r="I4" s="94"/>
      <c r="J4" s="95"/>
    </row>
    <row r="5" spans="1:13" ht="16.95" customHeight="1">
      <c r="A5" s="58">
        <v>1</v>
      </c>
      <c r="B5" s="74" t="s">
        <v>183</v>
      </c>
      <c r="C5" s="89" t="s">
        <v>16</v>
      </c>
      <c r="D5" s="89" t="s">
        <v>79</v>
      </c>
      <c r="E5" s="63"/>
      <c r="F5" s="29">
        <v>70</v>
      </c>
      <c r="G5" s="42"/>
      <c r="H5" s="63"/>
      <c r="I5" s="29"/>
      <c r="J5" s="30">
        <f t="shared" ref="J5:J33" si="0">SUM(E5:I5)</f>
        <v>70</v>
      </c>
    </row>
    <row r="6" spans="1:13" ht="16.95" customHeight="1">
      <c r="A6" s="58">
        <v>2</v>
      </c>
      <c r="B6" s="74" t="s">
        <v>185</v>
      </c>
      <c r="C6" s="89" t="s">
        <v>16</v>
      </c>
      <c r="D6" s="89" t="s">
        <v>79</v>
      </c>
      <c r="E6" s="63"/>
      <c r="F6" s="29">
        <v>45</v>
      </c>
      <c r="G6" s="42"/>
      <c r="H6" s="63"/>
      <c r="I6" s="29"/>
      <c r="J6" s="30">
        <f t="shared" si="0"/>
        <v>45</v>
      </c>
    </row>
    <row r="7" spans="1:13" ht="16.95" customHeight="1">
      <c r="A7" s="58">
        <v>3</v>
      </c>
      <c r="B7" s="74" t="s">
        <v>194</v>
      </c>
      <c r="C7" s="89" t="s">
        <v>14</v>
      </c>
      <c r="D7" s="89" t="s">
        <v>87</v>
      </c>
      <c r="E7" s="63"/>
      <c r="F7" s="29"/>
      <c r="G7" s="42">
        <v>70</v>
      </c>
      <c r="H7" s="63"/>
      <c r="I7" s="29"/>
      <c r="J7" s="30">
        <f t="shared" si="0"/>
        <v>70</v>
      </c>
      <c r="M7" s="14"/>
    </row>
    <row r="8" spans="1:13" ht="16.95" customHeight="1">
      <c r="A8" s="58">
        <v>4</v>
      </c>
      <c r="B8" s="75" t="s">
        <v>193</v>
      </c>
      <c r="C8" s="89" t="s">
        <v>14</v>
      </c>
      <c r="D8" s="89" t="s">
        <v>123</v>
      </c>
      <c r="E8" s="63"/>
      <c r="F8" s="29"/>
      <c r="G8" s="42">
        <v>50</v>
      </c>
      <c r="H8" s="63"/>
      <c r="I8" s="29"/>
      <c r="J8" s="30">
        <f t="shared" si="0"/>
        <v>50</v>
      </c>
    </row>
    <row r="9" spans="1:13" ht="16.95" customHeight="1">
      <c r="A9" s="58">
        <v>5</v>
      </c>
      <c r="B9" s="74" t="s">
        <v>155</v>
      </c>
      <c r="C9" s="89" t="s">
        <v>8</v>
      </c>
      <c r="D9" s="89" t="s">
        <v>79</v>
      </c>
      <c r="E9" s="63">
        <v>85</v>
      </c>
      <c r="F9" s="29"/>
      <c r="G9" s="42"/>
      <c r="H9" s="63"/>
      <c r="I9" s="29"/>
      <c r="J9" s="30">
        <f t="shared" si="0"/>
        <v>85</v>
      </c>
    </row>
    <row r="10" spans="1:13" ht="16.95" customHeight="1">
      <c r="A10" s="58">
        <v>6</v>
      </c>
      <c r="B10" s="75" t="s">
        <v>164</v>
      </c>
      <c r="C10" s="89" t="s">
        <v>7</v>
      </c>
      <c r="D10" s="89" t="s">
        <v>84</v>
      </c>
      <c r="E10" s="63">
        <v>100</v>
      </c>
      <c r="F10" s="29">
        <v>100</v>
      </c>
      <c r="G10" s="42">
        <v>100</v>
      </c>
      <c r="H10" s="63"/>
      <c r="I10" s="29"/>
      <c r="J10" s="30">
        <f t="shared" si="0"/>
        <v>300</v>
      </c>
    </row>
    <row r="11" spans="1:13" ht="16.95" customHeight="1">
      <c r="A11" s="58">
        <v>7</v>
      </c>
      <c r="B11" s="74" t="s">
        <v>195</v>
      </c>
      <c r="C11" s="89" t="s">
        <v>15</v>
      </c>
      <c r="D11" s="89" t="s">
        <v>87</v>
      </c>
      <c r="E11" s="63"/>
      <c r="F11" s="29"/>
      <c r="G11" s="42">
        <v>50</v>
      </c>
      <c r="H11" s="63"/>
      <c r="I11" s="29"/>
      <c r="J11" s="30">
        <f t="shared" si="0"/>
        <v>50</v>
      </c>
    </row>
    <row r="12" spans="1:13" ht="16.95" customHeight="1">
      <c r="A12" s="58">
        <v>8</v>
      </c>
      <c r="B12" s="74" t="s">
        <v>146</v>
      </c>
      <c r="C12" s="89" t="s">
        <v>10</v>
      </c>
      <c r="D12" s="89" t="s">
        <v>79</v>
      </c>
      <c r="E12" s="63"/>
      <c r="F12" s="29"/>
      <c r="G12" s="42"/>
      <c r="H12" s="63"/>
      <c r="I12" s="29"/>
      <c r="J12" s="30">
        <f t="shared" si="0"/>
        <v>0</v>
      </c>
      <c r="M12" s="14"/>
    </row>
    <row r="13" spans="1:13" ht="16.95" customHeight="1">
      <c r="A13" s="58">
        <v>9</v>
      </c>
      <c r="B13" s="74" t="s">
        <v>158</v>
      </c>
      <c r="C13" s="89" t="s">
        <v>9</v>
      </c>
      <c r="D13" s="89" t="s">
        <v>87</v>
      </c>
      <c r="E13" s="63">
        <v>55</v>
      </c>
      <c r="F13" s="29">
        <v>55</v>
      </c>
      <c r="G13" s="42">
        <v>55</v>
      </c>
      <c r="H13" s="63"/>
      <c r="I13" s="29"/>
      <c r="J13" s="30">
        <f t="shared" si="0"/>
        <v>165</v>
      </c>
    </row>
    <row r="14" spans="1:13" ht="16.95" customHeight="1">
      <c r="A14" s="58">
        <v>10</v>
      </c>
      <c r="B14" s="74" t="s">
        <v>184</v>
      </c>
      <c r="C14" s="89" t="s">
        <v>16</v>
      </c>
      <c r="D14" s="89" t="s">
        <v>79</v>
      </c>
      <c r="E14" s="63"/>
      <c r="F14" s="29">
        <v>50</v>
      </c>
      <c r="G14" s="42"/>
      <c r="H14" s="63"/>
      <c r="I14" s="29"/>
      <c r="J14" s="30">
        <f t="shared" si="0"/>
        <v>50</v>
      </c>
    </row>
    <row r="15" spans="1:13" ht="16.95" customHeight="1">
      <c r="A15" s="58">
        <v>11</v>
      </c>
      <c r="B15" s="75" t="s">
        <v>151</v>
      </c>
      <c r="C15" s="89" t="s">
        <v>14</v>
      </c>
      <c r="D15" s="89" t="s">
        <v>79</v>
      </c>
      <c r="E15" s="63">
        <v>60</v>
      </c>
      <c r="F15" s="29">
        <v>85</v>
      </c>
      <c r="G15" s="42">
        <v>85</v>
      </c>
      <c r="H15" s="63"/>
      <c r="I15" s="29"/>
      <c r="J15" s="30">
        <f t="shared" si="0"/>
        <v>230</v>
      </c>
    </row>
    <row r="16" spans="1:13" ht="16.95" customHeight="1">
      <c r="A16" s="58">
        <v>12</v>
      </c>
      <c r="B16" s="74" t="s">
        <v>154</v>
      </c>
      <c r="C16" s="89" t="s">
        <v>12</v>
      </c>
      <c r="D16" s="89" t="s">
        <v>84</v>
      </c>
      <c r="E16" s="63">
        <v>50</v>
      </c>
      <c r="F16" s="29"/>
      <c r="G16" s="42"/>
      <c r="H16" s="63"/>
      <c r="I16" s="29"/>
      <c r="J16" s="30">
        <f t="shared" si="0"/>
        <v>50</v>
      </c>
    </row>
    <row r="17" spans="1:10" ht="16.95" customHeight="1">
      <c r="A17" s="58">
        <v>13</v>
      </c>
      <c r="B17" s="74" t="s">
        <v>152</v>
      </c>
      <c r="C17" s="89" t="s">
        <v>14</v>
      </c>
      <c r="D17" s="89" t="s">
        <v>84</v>
      </c>
      <c r="E17" s="63"/>
      <c r="F17" s="29"/>
      <c r="G17" s="42"/>
      <c r="H17" s="63"/>
      <c r="I17" s="29"/>
      <c r="J17" s="30">
        <f t="shared" si="0"/>
        <v>0</v>
      </c>
    </row>
    <row r="18" spans="1:10" ht="16.95" customHeight="1">
      <c r="A18" s="58">
        <v>14</v>
      </c>
      <c r="B18" s="75" t="s">
        <v>156</v>
      </c>
      <c r="C18" s="89" t="s">
        <v>11</v>
      </c>
      <c r="D18" s="89" t="s">
        <v>79</v>
      </c>
      <c r="E18" s="63">
        <v>70</v>
      </c>
      <c r="F18" s="29">
        <v>60</v>
      </c>
      <c r="G18" s="42">
        <v>60</v>
      </c>
      <c r="H18" s="63"/>
      <c r="I18" s="29"/>
      <c r="J18" s="30">
        <f t="shared" si="0"/>
        <v>190</v>
      </c>
    </row>
    <row r="19" spans="1:10" ht="16.95" customHeight="1">
      <c r="A19" s="58">
        <v>15</v>
      </c>
      <c r="B19" s="74"/>
      <c r="C19" s="89"/>
      <c r="D19" s="89"/>
      <c r="E19" s="63"/>
      <c r="F19" s="29"/>
      <c r="G19" s="42"/>
      <c r="H19" s="63"/>
      <c r="I19" s="29"/>
      <c r="J19" s="30">
        <f t="shared" si="0"/>
        <v>0</v>
      </c>
    </row>
    <row r="20" spans="1:10" ht="16.95" customHeight="1">
      <c r="A20" s="58">
        <v>16</v>
      </c>
      <c r="B20" s="74"/>
      <c r="C20" s="89"/>
      <c r="D20" s="89"/>
      <c r="E20" s="63"/>
      <c r="F20" s="29"/>
      <c r="G20" s="42"/>
      <c r="H20" s="63"/>
      <c r="I20" s="29"/>
      <c r="J20" s="30">
        <f t="shared" si="0"/>
        <v>0</v>
      </c>
    </row>
    <row r="21" spans="1:10" ht="16.95" customHeight="1">
      <c r="A21" s="58">
        <v>17</v>
      </c>
      <c r="B21" s="74"/>
      <c r="C21" s="89"/>
      <c r="D21" s="89"/>
      <c r="E21" s="63"/>
      <c r="F21" s="29"/>
      <c r="G21" s="42"/>
      <c r="H21" s="63"/>
      <c r="I21" s="29"/>
      <c r="J21" s="30">
        <f t="shared" si="0"/>
        <v>0</v>
      </c>
    </row>
    <row r="22" spans="1:10" ht="16.95" customHeight="1">
      <c r="A22" s="58">
        <v>18</v>
      </c>
      <c r="B22" s="74"/>
      <c r="C22" s="89"/>
      <c r="D22" s="89"/>
      <c r="E22" s="63"/>
      <c r="F22" s="29"/>
      <c r="G22" s="42"/>
      <c r="H22" s="63"/>
      <c r="I22" s="29"/>
      <c r="J22" s="30">
        <f t="shared" si="0"/>
        <v>0</v>
      </c>
    </row>
    <row r="23" spans="1:10" ht="16.95" customHeight="1">
      <c r="A23" s="58">
        <v>19</v>
      </c>
      <c r="B23" s="75"/>
      <c r="C23" s="89"/>
      <c r="D23" s="89"/>
      <c r="E23" s="63"/>
      <c r="F23" s="29"/>
      <c r="G23" s="42"/>
      <c r="H23" s="63"/>
      <c r="I23" s="29"/>
      <c r="J23" s="30">
        <f t="shared" si="0"/>
        <v>0</v>
      </c>
    </row>
    <row r="24" spans="1:10" ht="16.95" customHeight="1">
      <c r="A24" s="58">
        <v>20</v>
      </c>
      <c r="B24" s="75"/>
      <c r="C24" s="89"/>
      <c r="D24" s="89"/>
      <c r="E24" s="63"/>
      <c r="F24" s="29"/>
      <c r="G24" s="42"/>
      <c r="H24" s="63"/>
      <c r="I24" s="29"/>
      <c r="J24" s="30">
        <f t="shared" si="0"/>
        <v>0</v>
      </c>
    </row>
    <row r="25" spans="1:10" ht="16.95" customHeight="1">
      <c r="A25" s="58">
        <v>21</v>
      </c>
      <c r="B25" s="74"/>
      <c r="C25" s="89"/>
      <c r="D25" s="89"/>
      <c r="E25" s="63"/>
      <c r="F25" s="29"/>
      <c r="G25" s="42"/>
      <c r="H25" s="63"/>
      <c r="I25" s="29"/>
      <c r="J25" s="30">
        <f t="shared" si="0"/>
        <v>0</v>
      </c>
    </row>
    <row r="26" spans="1:10" ht="16.95" customHeight="1">
      <c r="A26" s="58">
        <v>22</v>
      </c>
      <c r="B26" s="74"/>
      <c r="C26" s="89"/>
      <c r="D26" s="89"/>
      <c r="E26" s="63"/>
      <c r="F26" s="29"/>
      <c r="G26" s="42"/>
      <c r="H26" s="63"/>
      <c r="I26" s="29"/>
      <c r="J26" s="30">
        <f t="shared" si="0"/>
        <v>0</v>
      </c>
    </row>
    <row r="27" spans="1:10" ht="16.95" customHeight="1">
      <c r="A27" s="58">
        <v>23</v>
      </c>
      <c r="B27" s="74"/>
      <c r="C27" s="89"/>
      <c r="D27" s="89"/>
      <c r="E27" s="63"/>
      <c r="F27" s="29"/>
      <c r="G27" s="42"/>
      <c r="H27" s="63"/>
      <c r="I27" s="29"/>
      <c r="J27" s="30">
        <f t="shared" si="0"/>
        <v>0</v>
      </c>
    </row>
    <row r="28" spans="1:10" ht="16.95" customHeight="1">
      <c r="A28" s="58">
        <v>24</v>
      </c>
      <c r="B28" s="75"/>
      <c r="C28" s="89"/>
      <c r="D28" s="89"/>
      <c r="E28" s="63"/>
      <c r="F28" s="29"/>
      <c r="G28" s="42"/>
      <c r="H28" s="63"/>
      <c r="I28" s="29"/>
      <c r="J28" s="30">
        <f t="shared" si="0"/>
        <v>0</v>
      </c>
    </row>
    <row r="29" spans="1:10" ht="16.95" customHeight="1">
      <c r="A29" s="58">
        <v>25</v>
      </c>
      <c r="B29" s="75"/>
      <c r="C29" s="89"/>
      <c r="D29" s="89"/>
      <c r="E29" s="63"/>
      <c r="F29" s="29"/>
      <c r="G29" s="42"/>
      <c r="H29" s="63"/>
      <c r="I29" s="29"/>
      <c r="J29" s="30">
        <f t="shared" si="0"/>
        <v>0</v>
      </c>
    </row>
    <row r="30" spans="1:10" ht="16.95" customHeight="1">
      <c r="A30" s="58">
        <v>26</v>
      </c>
      <c r="B30" s="74"/>
      <c r="C30" s="89"/>
      <c r="D30" s="89"/>
      <c r="E30" s="63"/>
      <c r="F30" s="29"/>
      <c r="G30" s="42"/>
      <c r="H30" s="63"/>
      <c r="I30" s="29"/>
      <c r="J30" s="30">
        <f t="shared" si="0"/>
        <v>0</v>
      </c>
    </row>
    <row r="31" spans="1:10" ht="16.95" customHeight="1">
      <c r="A31" s="58">
        <v>27</v>
      </c>
      <c r="B31" s="75"/>
      <c r="C31" s="89"/>
      <c r="D31" s="89"/>
      <c r="E31" s="63"/>
      <c r="F31" s="29"/>
      <c r="G31" s="42"/>
      <c r="H31" s="63"/>
      <c r="I31" s="29"/>
      <c r="J31" s="30">
        <f t="shared" si="0"/>
        <v>0</v>
      </c>
    </row>
    <row r="32" spans="1:10" ht="16.95" customHeight="1">
      <c r="A32" s="58">
        <v>28</v>
      </c>
      <c r="B32" s="74"/>
      <c r="C32" s="89"/>
      <c r="D32" s="89"/>
      <c r="E32" s="63"/>
      <c r="F32" s="29"/>
      <c r="G32" s="42"/>
      <c r="H32" s="63"/>
      <c r="I32" s="29"/>
      <c r="J32" s="30">
        <f t="shared" si="0"/>
        <v>0</v>
      </c>
    </row>
    <row r="33" spans="1:10" ht="16.95" customHeight="1">
      <c r="A33" s="58">
        <v>29</v>
      </c>
      <c r="B33" s="74"/>
      <c r="C33" s="89"/>
      <c r="D33" s="89"/>
      <c r="E33" s="63"/>
      <c r="F33" s="29"/>
      <c r="G33" s="42"/>
      <c r="H33" s="63"/>
      <c r="I33" s="29"/>
      <c r="J33" s="30">
        <f t="shared" si="0"/>
        <v>0</v>
      </c>
    </row>
    <row r="34" spans="1:10" ht="16.95" customHeight="1">
      <c r="A34" s="58">
        <v>30</v>
      </c>
      <c r="B34" s="77"/>
      <c r="C34" s="96"/>
      <c r="D34" s="96"/>
      <c r="E34" s="29"/>
      <c r="F34" s="29"/>
      <c r="G34" s="42"/>
      <c r="H34" s="63"/>
      <c r="I34" s="29"/>
      <c r="J34" s="30">
        <f t="shared" ref="J34:J54" si="1">SUM(E34:I34)</f>
        <v>0</v>
      </c>
    </row>
    <row r="35" spans="1:10" ht="16.95" customHeight="1">
      <c r="A35" s="58">
        <v>31</v>
      </c>
      <c r="B35" s="77"/>
      <c r="C35" s="96"/>
      <c r="D35" s="96"/>
      <c r="E35" s="29"/>
      <c r="F35" s="29"/>
      <c r="G35" s="42"/>
      <c r="H35" s="63"/>
      <c r="I35" s="29"/>
      <c r="J35" s="30">
        <f t="shared" si="1"/>
        <v>0</v>
      </c>
    </row>
    <row r="36" spans="1:10" ht="16.95" customHeight="1">
      <c r="A36" s="58">
        <v>32</v>
      </c>
      <c r="B36" s="77"/>
      <c r="C36" s="96"/>
      <c r="D36" s="96"/>
      <c r="E36" s="29"/>
      <c r="F36" s="29"/>
      <c r="G36" s="42"/>
      <c r="H36" s="63"/>
      <c r="I36" s="29"/>
      <c r="J36" s="30">
        <f t="shared" si="1"/>
        <v>0</v>
      </c>
    </row>
    <row r="37" spans="1:10" ht="16.95" customHeight="1">
      <c r="A37" s="58">
        <v>33</v>
      </c>
      <c r="B37" s="77"/>
      <c r="C37" s="96"/>
      <c r="D37" s="96"/>
      <c r="E37" s="29"/>
      <c r="F37" s="29"/>
      <c r="G37" s="42"/>
      <c r="H37" s="63"/>
      <c r="I37" s="29"/>
      <c r="J37" s="30">
        <f t="shared" si="1"/>
        <v>0</v>
      </c>
    </row>
    <row r="38" spans="1:10" ht="16.95" customHeight="1">
      <c r="A38" s="58">
        <v>34</v>
      </c>
      <c r="B38" s="77"/>
      <c r="C38" s="92"/>
      <c r="D38" s="92"/>
      <c r="E38" s="20"/>
      <c r="F38" s="29"/>
      <c r="G38" s="42"/>
      <c r="H38" s="63"/>
      <c r="I38" s="29"/>
      <c r="J38" s="30">
        <f t="shared" si="1"/>
        <v>0</v>
      </c>
    </row>
    <row r="39" spans="1:10" ht="16.95" customHeight="1">
      <c r="A39" s="58">
        <v>35</v>
      </c>
      <c r="B39" s="78"/>
      <c r="C39" s="92"/>
      <c r="D39" s="92"/>
      <c r="E39" s="20"/>
      <c r="F39" s="29"/>
      <c r="G39" s="42"/>
      <c r="H39" s="63"/>
      <c r="I39" s="29"/>
      <c r="J39" s="30">
        <f t="shared" si="1"/>
        <v>0</v>
      </c>
    </row>
    <row r="40" spans="1:10" ht="16.95" customHeight="1">
      <c r="A40" s="58">
        <v>36</v>
      </c>
      <c r="B40" s="77"/>
      <c r="C40" s="96"/>
      <c r="D40" s="96"/>
      <c r="E40" s="29"/>
      <c r="F40" s="29"/>
      <c r="G40" s="42"/>
      <c r="H40" s="63"/>
      <c r="I40" s="29"/>
      <c r="J40" s="30">
        <f t="shared" si="1"/>
        <v>0</v>
      </c>
    </row>
    <row r="41" spans="1:10" ht="16.95" customHeight="1">
      <c r="A41" s="58">
        <v>37</v>
      </c>
      <c r="B41" s="77"/>
      <c r="C41" s="96"/>
      <c r="D41" s="96"/>
      <c r="E41" s="29"/>
      <c r="F41" s="29"/>
      <c r="G41" s="42"/>
      <c r="H41" s="63"/>
      <c r="I41" s="29"/>
      <c r="J41" s="30">
        <f t="shared" si="1"/>
        <v>0</v>
      </c>
    </row>
    <row r="42" spans="1:10" ht="16.95" customHeight="1">
      <c r="A42" s="58">
        <v>38</v>
      </c>
      <c r="B42" s="77"/>
      <c r="C42" s="96"/>
      <c r="D42" s="96"/>
      <c r="E42" s="29"/>
      <c r="F42" s="29"/>
      <c r="G42" s="42"/>
      <c r="H42" s="63"/>
      <c r="I42" s="29"/>
      <c r="J42" s="30">
        <f t="shared" si="1"/>
        <v>0</v>
      </c>
    </row>
    <row r="43" spans="1:10" ht="16.95" customHeight="1">
      <c r="A43" s="58">
        <v>39</v>
      </c>
      <c r="B43" s="77"/>
      <c r="C43" s="96"/>
      <c r="D43" s="96"/>
      <c r="E43" s="29"/>
      <c r="F43" s="29"/>
      <c r="G43" s="42"/>
      <c r="H43" s="63"/>
      <c r="I43" s="29"/>
      <c r="J43" s="30">
        <f t="shared" si="1"/>
        <v>0</v>
      </c>
    </row>
    <row r="44" spans="1:10" ht="16.95" customHeight="1">
      <c r="A44" s="58">
        <v>40</v>
      </c>
      <c r="B44" s="77"/>
      <c r="C44" s="96"/>
      <c r="D44" s="96"/>
      <c r="E44" s="29"/>
      <c r="F44" s="29"/>
      <c r="G44" s="42"/>
      <c r="H44" s="63"/>
      <c r="I44" s="29"/>
      <c r="J44" s="30">
        <f t="shared" si="1"/>
        <v>0</v>
      </c>
    </row>
    <row r="45" spans="1:10" ht="16.95" customHeight="1">
      <c r="A45" s="58">
        <v>41</v>
      </c>
      <c r="B45" s="77"/>
      <c r="C45" s="96"/>
      <c r="D45" s="96"/>
      <c r="E45" s="29"/>
      <c r="F45" s="29"/>
      <c r="G45" s="42"/>
      <c r="H45" s="63"/>
      <c r="I45" s="29"/>
      <c r="J45" s="30">
        <f t="shared" si="1"/>
        <v>0</v>
      </c>
    </row>
    <row r="46" spans="1:10" ht="16.95" customHeight="1">
      <c r="A46" s="58">
        <v>42</v>
      </c>
      <c r="B46" s="77"/>
      <c r="C46" s="96"/>
      <c r="D46" s="96"/>
      <c r="E46" s="29"/>
      <c r="F46" s="29"/>
      <c r="G46" s="42"/>
      <c r="H46" s="63"/>
      <c r="I46" s="29"/>
      <c r="J46" s="30">
        <f t="shared" si="1"/>
        <v>0</v>
      </c>
    </row>
    <row r="47" spans="1:10" ht="16.95" customHeight="1">
      <c r="A47" s="58">
        <v>43</v>
      </c>
      <c r="B47" s="77"/>
      <c r="C47" s="96"/>
      <c r="D47" s="96"/>
      <c r="E47" s="29"/>
      <c r="F47" s="29"/>
      <c r="G47" s="42"/>
      <c r="H47" s="63"/>
      <c r="I47" s="29"/>
      <c r="J47" s="30">
        <f t="shared" si="1"/>
        <v>0</v>
      </c>
    </row>
    <row r="48" spans="1:10" ht="16.95" customHeight="1">
      <c r="A48" s="58">
        <v>44</v>
      </c>
      <c r="B48" s="77"/>
      <c r="C48" s="96"/>
      <c r="D48" s="96"/>
      <c r="E48" s="29"/>
      <c r="F48" s="29"/>
      <c r="G48" s="42"/>
      <c r="H48" s="63"/>
      <c r="I48" s="29"/>
      <c r="J48" s="30">
        <f t="shared" si="1"/>
        <v>0</v>
      </c>
    </row>
    <row r="49" spans="1:10" ht="16.95" customHeight="1">
      <c r="A49" s="58">
        <v>45</v>
      </c>
      <c r="B49" s="77"/>
      <c r="C49" s="96"/>
      <c r="D49" s="96"/>
      <c r="E49" s="29"/>
      <c r="F49" s="29"/>
      <c r="G49" s="42"/>
      <c r="H49" s="63"/>
      <c r="I49" s="29"/>
      <c r="J49" s="30">
        <f t="shared" si="1"/>
        <v>0</v>
      </c>
    </row>
    <row r="50" spans="1:10" ht="16.95" customHeight="1">
      <c r="A50" s="58">
        <v>46</v>
      </c>
      <c r="B50" s="78"/>
      <c r="C50" s="96"/>
      <c r="D50" s="96"/>
      <c r="E50" s="29"/>
      <c r="F50" s="29"/>
      <c r="G50" s="42"/>
      <c r="H50" s="63"/>
      <c r="I50" s="29"/>
      <c r="J50" s="30">
        <f t="shared" si="1"/>
        <v>0</v>
      </c>
    </row>
    <row r="51" spans="1:10" ht="16.95" customHeight="1">
      <c r="A51" s="58">
        <v>47</v>
      </c>
      <c r="B51" s="77"/>
      <c r="C51" s="96"/>
      <c r="D51" s="96"/>
      <c r="E51" s="29"/>
      <c r="F51" s="29"/>
      <c r="G51" s="42"/>
      <c r="H51" s="63"/>
      <c r="I51" s="29"/>
      <c r="J51" s="30">
        <f t="shared" si="1"/>
        <v>0</v>
      </c>
    </row>
    <row r="52" spans="1:10" ht="16.95" customHeight="1">
      <c r="A52" s="58">
        <v>48</v>
      </c>
      <c r="B52" s="77"/>
      <c r="C52" s="96"/>
      <c r="D52" s="96"/>
      <c r="E52" s="29"/>
      <c r="F52" s="29"/>
      <c r="G52" s="42"/>
      <c r="H52" s="63"/>
      <c r="I52" s="29"/>
      <c r="J52" s="30">
        <f t="shared" si="1"/>
        <v>0</v>
      </c>
    </row>
    <row r="53" spans="1:10" ht="16.95" customHeight="1">
      <c r="A53" s="58">
        <v>49</v>
      </c>
      <c r="B53" s="77"/>
      <c r="C53" s="96"/>
      <c r="D53" s="96"/>
      <c r="E53" s="29"/>
      <c r="F53" s="29"/>
      <c r="G53" s="42"/>
      <c r="H53" s="63"/>
      <c r="I53" s="29"/>
      <c r="J53" s="30">
        <f t="shared" si="1"/>
        <v>0</v>
      </c>
    </row>
    <row r="54" spans="1:10" ht="16.95" customHeight="1">
      <c r="A54" s="58">
        <v>50</v>
      </c>
      <c r="B54" s="77"/>
      <c r="C54" s="96"/>
      <c r="D54" s="96"/>
      <c r="E54" s="29"/>
      <c r="F54" s="29"/>
      <c r="G54" s="42"/>
      <c r="H54" s="63"/>
      <c r="I54" s="29"/>
      <c r="J54" s="30">
        <f t="shared" si="1"/>
        <v>0</v>
      </c>
    </row>
    <row r="55" spans="1:10" ht="16.05" customHeight="1">
      <c r="A55" s="27"/>
      <c r="B55" s="31"/>
      <c r="C55" s="31"/>
      <c r="D55" s="31"/>
      <c r="E55" s="31"/>
      <c r="F55" s="31"/>
      <c r="G55" s="31"/>
      <c r="H55" s="31"/>
      <c r="I55" s="31"/>
      <c r="J55" s="34"/>
    </row>
  </sheetData>
  <sheetProtection algorithmName="SHA-512" hashValue="OeccZy83E7yJs+cM+dTJDvPVH/iMDtUg89/u7hBlQcWo+dDgKfTp0z+FmcLouQR//xaSIr5/O52sQMCWdaV8cw==" saltValue="O7DINHppUEWD3a0bnVZ0Jg==" spinCount="100000" sheet="1" objects="1" scenarios="1" formatColumns="0" selectLockedCells="1" sort="0" autoFilter="0"/>
  <sortState xmlns:xlrd2="http://schemas.microsoft.com/office/spreadsheetml/2017/richdata2" ref="B5:I18">
    <sortCondition ref="B5:B18"/>
  </sortState>
  <mergeCells count="2">
    <mergeCell ref="A1:J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SUMIF('Youth International'!C5:C51,"ACCR",'Youth International'!J5:J51)</f>
        <v>165</v>
      </c>
    </row>
    <row r="4" spans="1:2" ht="13.95" customHeight="1">
      <c r="A4" s="13" t="s">
        <v>14</v>
      </c>
      <c r="B4" s="13">
        <f>SUMIF('Youth International'!C5:C51,"ACU",'Youth International'!J5:J51)</f>
        <v>350</v>
      </c>
    </row>
    <row r="5" spans="1:2" ht="13.95" customHeight="1">
      <c r="A5" s="13" t="s">
        <v>37</v>
      </c>
      <c r="B5" s="13">
        <f>SUMIF('Youth International'!C5:C51,"AMA",'Youth International'!J5:J51)</f>
        <v>0</v>
      </c>
    </row>
    <row r="6" spans="1:2" ht="13.95" customHeight="1">
      <c r="A6" s="13" t="s">
        <v>38</v>
      </c>
      <c r="B6" s="13">
        <f>SUMIF('Youth International'!C5:C51,"AMOTOE",'Youth International'!J5:J51)</f>
        <v>0</v>
      </c>
    </row>
    <row r="7" spans="1:2" ht="13.95" customHeight="1">
      <c r="A7" s="13" t="s">
        <v>60</v>
      </c>
      <c r="B7" s="13">
        <f>SUMIF('Youth International'!C5:C52,"AMZS",'Youth International'!J5:J52)</f>
        <v>0</v>
      </c>
    </row>
    <row r="8" spans="1:2" ht="13.95" customHeight="1">
      <c r="A8" s="13" t="s">
        <v>39</v>
      </c>
      <c r="B8" s="13">
        <f>SUMIF('Youth International'!C5:C51,"BFMS",'Youth International'!J5:J51)</f>
        <v>0</v>
      </c>
    </row>
    <row r="9" spans="1:2" ht="13.95" customHeight="1">
      <c r="A9" s="13" t="s">
        <v>40</v>
      </c>
      <c r="B9" s="14">
        <f>SUMIF('Youth International'!C5:C51,"BIHAMK",'Youth International'!J5:J51)</f>
        <v>0</v>
      </c>
    </row>
    <row r="10" spans="1:2" ht="13.95" customHeight="1">
      <c r="A10" s="13" t="s">
        <v>41</v>
      </c>
      <c r="B10" s="13">
        <f>SUMIF('Youth International'!C5:C51,"BMF",'Youth International'!J5:J51)</f>
        <v>0</v>
      </c>
    </row>
    <row r="11" spans="1:2" ht="13.95" customHeight="1">
      <c r="A11" s="13" t="s">
        <v>42</v>
      </c>
      <c r="B11" s="13">
        <f>SUMIF('Youth International'!C5:C51,"CMA",'Youth International'!J5:J51)</f>
        <v>0</v>
      </c>
    </row>
    <row r="12" spans="1:2" ht="13.5" customHeight="1">
      <c r="A12" s="13" t="s">
        <v>25</v>
      </c>
      <c r="B12" s="13">
        <f>SUMIF('Youth International'!C5:C51,"CTMSA",'Youth International'!J5:J51)</f>
        <v>0</v>
      </c>
    </row>
    <row r="13" spans="1:2" ht="13.5" customHeight="1">
      <c r="A13" s="13" t="s">
        <v>43</v>
      </c>
      <c r="B13" s="13">
        <f>SUMIF('Youth International'!C5:C51,"CYMF",'Youth International'!J5:J51)</f>
        <v>0</v>
      </c>
    </row>
    <row r="14" spans="1:2" ht="13.5" customHeight="1">
      <c r="A14" s="13" t="s">
        <v>11</v>
      </c>
      <c r="B14" s="13">
        <f>SUMIF('Youth International'!C5:C51,"DMSB",'Youth International'!J5:J51)</f>
        <v>190</v>
      </c>
    </row>
    <row r="15" spans="1:2" ht="13.5" customHeight="1">
      <c r="A15" s="13" t="s">
        <v>23</v>
      </c>
      <c r="B15" s="13">
        <f>SUMIF('Youth International'!C5:C51,"DMU",'Youth International'!J5:J51)</f>
        <v>0</v>
      </c>
    </row>
    <row r="16" spans="1:2" ht="13.5" customHeight="1">
      <c r="A16" s="13" t="s">
        <v>22</v>
      </c>
      <c r="B16" s="13">
        <f>SUMIF('Youth International'!C5:C51,"EMF",'Youth International'!J5:J51)</f>
        <v>0</v>
      </c>
    </row>
    <row r="17" spans="1:2" ht="13.5" customHeight="1">
      <c r="A17" s="13" t="s">
        <v>16</v>
      </c>
      <c r="B17" s="13">
        <f>SUMIF('Youth International'!C5:C51,"FFM",'Youth International'!J5:J51)</f>
        <v>165</v>
      </c>
    </row>
    <row r="18" spans="1:2" ht="13.5" customHeight="1">
      <c r="A18" s="13" t="s">
        <v>44</v>
      </c>
      <c r="B18" s="13">
        <f>SUMIF('Youth International'!C5:C51,"FMA",'Youth International'!J5:J51)</f>
        <v>0</v>
      </c>
    </row>
    <row r="19" spans="1:2" ht="13.5" customHeight="1">
      <c r="A19" s="13" t="s">
        <v>20</v>
      </c>
      <c r="B19" s="13">
        <f>SUMIF('Youth International'!C5:C51,"FMB",'Youth International'!J5:J51)</f>
        <v>0</v>
      </c>
    </row>
    <row r="20" spans="1:2" ht="13.5" customHeight="1">
      <c r="A20" s="13" t="s">
        <v>7</v>
      </c>
      <c r="B20" s="13">
        <f>SUMIF('Youth International'!C5:C51,"FMI",'Youth International'!J5:J51)</f>
        <v>300</v>
      </c>
    </row>
    <row r="21" spans="1:2" ht="13.5" customHeight="1">
      <c r="A21" s="13" t="s">
        <v>45</v>
      </c>
      <c r="B21" s="13">
        <f>SUMIF('Youth International'!C5:C51,"FMP",'Youth International'!J5:J51)</f>
        <v>0</v>
      </c>
    </row>
    <row r="22" spans="1:2" ht="13.5" customHeight="1">
      <c r="A22" s="13" t="s">
        <v>46</v>
      </c>
      <c r="B22" s="13">
        <f>SUMIF('Youth International'!C5:C51,"FMRM",'Youth International'!J5:J51)</f>
        <v>0</v>
      </c>
    </row>
    <row r="23" spans="1:2" ht="13.5" customHeight="1">
      <c r="A23" s="13" t="s">
        <v>47</v>
      </c>
      <c r="B23" s="13">
        <f>SUMIF('Youth International'!C5:C51,"FMS",'Youth International'!J5:J51)</f>
        <v>0</v>
      </c>
    </row>
    <row r="24" spans="1:2" ht="13.5" customHeight="1">
      <c r="A24" s="13" t="s">
        <v>48</v>
      </c>
      <c r="B24" s="13">
        <f>SUMIF('Youth International'!C5:C51,"FMU",'Youth International'!J5:J51)</f>
        <v>0</v>
      </c>
    </row>
    <row r="25" spans="1:2" ht="13.5" customHeight="1">
      <c r="A25" s="13" t="s">
        <v>49</v>
      </c>
      <c r="B25" s="13">
        <f>SUMIF('Youth International'!C5:C51,"FRM",'Youth International'!J5:J51)</f>
        <v>0</v>
      </c>
    </row>
    <row r="26" spans="1:2" ht="13.5" customHeight="1">
      <c r="A26" s="13" t="s">
        <v>17</v>
      </c>
      <c r="B26" s="13">
        <f>SUMIF('Youth International'!C5:C51,"KNMV",'Youth International'!J5:J51)</f>
        <v>0</v>
      </c>
    </row>
    <row r="27" spans="1:2" ht="13.5" customHeight="1">
      <c r="A27" s="13" t="s">
        <v>61</v>
      </c>
      <c r="B27" s="13">
        <f>SUMIF('Youth International'!C5:C51,"LaMSF",'Youth International'!J5:J51)</f>
        <v>0</v>
      </c>
    </row>
    <row r="28" spans="1:2" ht="13.5" customHeight="1">
      <c r="A28" s="13" t="s">
        <v>50</v>
      </c>
      <c r="B28" s="13">
        <f>SUMIF('Youth International'!C5:C51,"LMSF",'Youth International'!J5:J51)</f>
        <v>0</v>
      </c>
    </row>
    <row r="29" spans="1:2" ht="13.5" customHeight="1">
      <c r="A29" s="13" t="s">
        <v>24</v>
      </c>
      <c r="B29" s="13">
        <f>SUMIF('Youth International'!C5:C51,"MA",'Youth International'!J5:J51)</f>
        <v>0</v>
      </c>
    </row>
    <row r="30" spans="1:2" ht="13.5" customHeight="1">
      <c r="A30" s="13" t="s">
        <v>51</v>
      </c>
      <c r="B30" s="13">
        <f>SUMIF('Youth International'!C5:C51,"MAMS",'Youth International'!J5:J51)</f>
        <v>0</v>
      </c>
    </row>
    <row r="31" spans="1:2" ht="13.5" customHeight="1">
      <c r="A31" s="13" t="s">
        <v>52</v>
      </c>
      <c r="B31" s="13">
        <f>SUMIF('Youth International'!C5:C51,"MCM",'Youth International'!J5:J51)</f>
        <v>0</v>
      </c>
    </row>
    <row r="32" spans="1:2" ht="13.5" customHeight="1">
      <c r="A32" s="13" t="s">
        <v>53</v>
      </c>
      <c r="B32" s="13">
        <f>SUMIF('Youth International'!C5:C51,"MCUI",'Youth International'!J5:J51)</f>
        <v>0</v>
      </c>
    </row>
    <row r="33" spans="1:2" ht="13.5" customHeight="1">
      <c r="A33" s="13" t="s">
        <v>54</v>
      </c>
      <c r="B33" s="13">
        <f>SUMIF('Youth International'!C5:C51,"FMJ",'Youth International'!J5:J51)</f>
        <v>0</v>
      </c>
    </row>
    <row r="34" spans="1:2" ht="13.5" customHeight="1">
      <c r="A34" s="13" t="s">
        <v>55</v>
      </c>
      <c r="B34" s="13">
        <f>SUMIF('Youth International'!C5:C51,"MFR",'Youth International'!J5:J51)</f>
        <v>0</v>
      </c>
    </row>
    <row r="35" spans="1:2" ht="13.5" customHeight="1">
      <c r="A35" s="13" t="s">
        <v>56</v>
      </c>
      <c r="B35" s="13">
        <f>SUMIF('Youth International'!C5:C51,"MSI",'Youth International'!J5:J51)</f>
        <v>0</v>
      </c>
    </row>
    <row r="36" spans="1:2" ht="13.5" customHeight="1">
      <c r="A36" s="13" t="s">
        <v>57</v>
      </c>
      <c r="B36" s="13">
        <f>SUMIF('Youth International'!C5:C51,"MUL",'Youth International'!J5:J51)</f>
        <v>0</v>
      </c>
    </row>
    <row r="37" spans="1:2" ht="13.5" customHeight="1">
      <c r="A37" s="13" t="s">
        <v>10</v>
      </c>
      <c r="B37" s="13">
        <f>SUMIF('Youth International'!C5:C51,"NMF",'Youth International'!J5:J51)</f>
        <v>0</v>
      </c>
    </row>
    <row r="38" spans="1:2" ht="13.5" customHeight="1">
      <c r="A38" s="13" t="s">
        <v>62</v>
      </c>
      <c r="B38" s="13">
        <f>SUMIF('Youth International'!C5:C51,"AMF",'Youth International'!J5:J51)</f>
        <v>0</v>
      </c>
    </row>
    <row r="39" spans="1:2" ht="13.5" customHeight="1">
      <c r="A39" s="13" t="s">
        <v>12</v>
      </c>
      <c r="B39" s="13">
        <f>SUMIF('Youth International'!C5:C51,"PZM",'Youth International'!J5:J51)</f>
        <v>50</v>
      </c>
    </row>
    <row r="40" spans="1:2" ht="13.5" customHeight="1">
      <c r="A40" s="13" t="s">
        <v>8</v>
      </c>
      <c r="B40" s="13">
        <f>SUMIF('Youth International'!C5:C51,"RFME",'Youth International'!J5:J51)</f>
        <v>85</v>
      </c>
    </row>
    <row r="41" spans="1:2" ht="13.5" customHeight="1">
      <c r="A41" s="13" t="s">
        <v>19</v>
      </c>
      <c r="B41" s="13">
        <f>SUMIF('Youth International'!C5:C51,"SMF",'Youth International'!J5:J51)</f>
        <v>0</v>
      </c>
    </row>
    <row r="42" spans="1:2" ht="13.5" customHeight="1">
      <c r="A42" s="13" t="s">
        <v>15</v>
      </c>
      <c r="B42" s="13">
        <f>SUMIF('Youth International'!C5:C51,"SML",'Youth International'!J5:J51)</f>
        <v>50</v>
      </c>
    </row>
    <row r="43" spans="1:2" ht="13.5" customHeight="1">
      <c r="A43" s="13" t="s">
        <v>6</v>
      </c>
      <c r="B43" s="13">
        <f>SUMIF('Youth International'!C5:C51,"SVEMO",'Youth International'!J5:J51)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22"/>
  <sheetViews>
    <sheetView showGridLines="0" workbookViewId="0">
      <selection activeCell="B5" sqref="B5"/>
    </sheetView>
  </sheetViews>
  <sheetFormatPr defaultColWidth="7.3828125" defaultRowHeight="13.5" customHeight="1"/>
  <cols>
    <col min="1" max="256" width="7.3828125" style="6" customWidth="1"/>
  </cols>
  <sheetData>
    <row r="1" spans="1:11" ht="24" customHeight="1">
      <c r="A1" s="134" t="s">
        <v>26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23.7" customHeight="1">
      <c r="A2" s="7" t="s">
        <v>27</v>
      </c>
      <c r="B2" s="7" t="s">
        <v>0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7" t="s">
        <v>33</v>
      </c>
      <c r="I2" s="7" t="s">
        <v>34</v>
      </c>
      <c r="J2" s="7" t="s">
        <v>35</v>
      </c>
      <c r="K2" s="7" t="s">
        <v>36</v>
      </c>
    </row>
    <row r="3" spans="1:11" ht="18.3" customHeight="1">
      <c r="A3" s="8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" customHeight="1">
      <c r="A4" s="8" t="s">
        <v>10</v>
      </c>
      <c r="B4" s="3"/>
      <c r="C4" s="3"/>
      <c r="D4" s="3"/>
      <c r="E4" s="3"/>
      <c r="F4" s="3"/>
      <c r="G4" s="3"/>
      <c r="H4" s="3"/>
      <c r="I4" s="3"/>
      <c r="J4" s="10"/>
      <c r="K4" s="11"/>
    </row>
    <row r="5" spans="1:11" ht="15" customHeight="1">
      <c r="A5" s="8" t="s">
        <v>7</v>
      </c>
      <c r="B5" s="3"/>
      <c r="C5" s="3"/>
      <c r="D5" s="3"/>
      <c r="E5" s="3"/>
      <c r="F5" s="3"/>
      <c r="G5" s="3"/>
      <c r="H5" s="3"/>
      <c r="I5" s="3"/>
      <c r="J5" s="10"/>
      <c r="K5" s="11"/>
    </row>
    <row r="6" spans="1:11" ht="15" customHeight="1">
      <c r="A6" s="8" t="s">
        <v>11</v>
      </c>
      <c r="B6" s="3"/>
      <c r="C6" s="3"/>
      <c r="D6" s="3"/>
      <c r="E6" s="3"/>
      <c r="F6" s="3"/>
      <c r="G6" s="3"/>
      <c r="H6" s="3"/>
      <c r="I6" s="3"/>
      <c r="J6" s="10"/>
      <c r="K6" s="11"/>
    </row>
    <row r="7" spans="1:11" ht="15" customHeight="1">
      <c r="A7" s="8" t="s">
        <v>6</v>
      </c>
      <c r="B7" s="3"/>
      <c r="C7" s="3"/>
      <c r="D7" s="3"/>
      <c r="E7" s="3"/>
      <c r="F7" s="3"/>
      <c r="G7" s="3"/>
      <c r="H7" s="3"/>
      <c r="I7" s="3"/>
      <c r="J7" s="10"/>
      <c r="K7" s="11"/>
    </row>
    <row r="8" spans="1:11" ht="15" customHeight="1">
      <c r="A8" s="8" t="s">
        <v>9</v>
      </c>
      <c r="B8" s="3"/>
      <c r="C8" s="3"/>
      <c r="D8" s="3"/>
      <c r="E8" s="3"/>
      <c r="F8" s="3"/>
      <c r="G8" s="3"/>
      <c r="H8" s="3"/>
      <c r="I8" s="3"/>
      <c r="J8" s="10"/>
      <c r="K8" s="11"/>
    </row>
    <row r="9" spans="1:11" ht="15" customHeight="1">
      <c r="A9" s="12" t="s">
        <v>14</v>
      </c>
      <c r="B9" s="3"/>
      <c r="C9" s="3"/>
      <c r="D9" s="3"/>
      <c r="E9" s="3"/>
      <c r="F9" s="3"/>
      <c r="G9" s="3"/>
      <c r="H9" s="3"/>
      <c r="I9" s="3"/>
      <c r="J9" s="10"/>
      <c r="K9" s="11"/>
    </row>
    <row r="10" spans="1:11" ht="15" customHeight="1">
      <c r="A10" s="8" t="s">
        <v>15</v>
      </c>
      <c r="B10" s="3"/>
      <c r="C10" s="3"/>
      <c r="D10" s="3"/>
      <c r="E10" s="3"/>
      <c r="F10" s="3"/>
      <c r="G10" s="3"/>
      <c r="H10" s="3"/>
      <c r="I10" s="3"/>
      <c r="J10" s="10"/>
      <c r="K10" s="11"/>
    </row>
    <row r="11" spans="1:11" ht="15" customHeight="1">
      <c r="A11" s="8" t="s">
        <v>12</v>
      </c>
      <c r="B11" s="3"/>
      <c r="C11" s="3"/>
      <c r="D11" s="3"/>
      <c r="E11" s="3"/>
      <c r="F11" s="3"/>
      <c r="G11" s="3"/>
      <c r="H11" s="3"/>
      <c r="I11" s="3"/>
      <c r="J11" s="10"/>
      <c r="K11" s="11"/>
    </row>
    <row r="12" spans="1:11" ht="15" customHeight="1">
      <c r="A12" s="8" t="s">
        <v>8</v>
      </c>
      <c r="B12" s="3"/>
      <c r="C12" s="3"/>
      <c r="D12" s="3"/>
      <c r="E12" s="3"/>
      <c r="F12" s="3"/>
      <c r="G12" s="3"/>
      <c r="H12" s="3"/>
      <c r="I12" s="3"/>
      <c r="J12" s="10"/>
      <c r="K12" s="11"/>
    </row>
    <row r="13" spans="1:11" ht="15" customHeight="1">
      <c r="A13" s="8" t="s">
        <v>17</v>
      </c>
      <c r="B13" s="3"/>
      <c r="C13" s="3"/>
      <c r="D13" s="3"/>
      <c r="E13" s="3"/>
      <c r="F13" s="3"/>
      <c r="G13" s="3"/>
      <c r="H13" s="3"/>
      <c r="I13" s="3"/>
      <c r="J13" s="10"/>
      <c r="K13" s="11"/>
    </row>
    <row r="14" spans="1:11" ht="15" customHeight="1">
      <c r="A14" s="8" t="s">
        <v>21</v>
      </c>
      <c r="B14" s="3"/>
      <c r="C14" s="3"/>
      <c r="D14" s="3"/>
      <c r="E14" s="3"/>
      <c r="F14" s="3"/>
      <c r="G14" s="3"/>
      <c r="H14" s="3"/>
      <c r="I14" s="3"/>
      <c r="J14" s="10"/>
      <c r="K14" s="11"/>
    </row>
    <row r="15" spans="1:11" ht="15" customHeight="1">
      <c r="A15" s="8" t="s">
        <v>20</v>
      </c>
      <c r="B15" s="3"/>
      <c r="C15" s="3"/>
      <c r="D15" s="3"/>
      <c r="E15" s="3"/>
      <c r="F15" s="3"/>
      <c r="G15" s="3"/>
      <c r="H15" s="3"/>
      <c r="I15" s="3"/>
      <c r="J15" s="10"/>
      <c r="K15" s="11"/>
    </row>
    <row r="16" spans="1:11" ht="15" customHeight="1">
      <c r="A16" s="8" t="s">
        <v>16</v>
      </c>
      <c r="B16" s="3"/>
      <c r="C16" s="3"/>
      <c r="D16" s="3"/>
      <c r="E16" s="3"/>
      <c r="F16" s="3"/>
      <c r="G16" s="3"/>
      <c r="H16" s="3"/>
      <c r="I16" s="3"/>
      <c r="J16" s="10"/>
      <c r="K16" s="11"/>
    </row>
    <row r="17" spans="1:11" ht="15" customHeight="1">
      <c r="A17" s="8" t="s">
        <v>23</v>
      </c>
      <c r="B17" s="3"/>
      <c r="C17" s="3"/>
      <c r="D17" s="3"/>
      <c r="E17" s="3"/>
      <c r="F17" s="3"/>
      <c r="G17" s="3"/>
      <c r="H17" s="3"/>
      <c r="I17" s="3"/>
      <c r="J17" s="10"/>
      <c r="K17" s="11"/>
    </row>
    <row r="18" spans="1:11" ht="15" customHeight="1">
      <c r="A18" s="8" t="s">
        <v>19</v>
      </c>
      <c r="B18" s="3"/>
      <c r="C18" s="3"/>
      <c r="D18" s="3"/>
      <c r="E18" s="3"/>
      <c r="F18" s="3"/>
      <c r="G18" s="3"/>
      <c r="H18" s="3"/>
      <c r="I18" s="3"/>
      <c r="J18" s="10"/>
      <c r="K18" s="11"/>
    </row>
    <row r="19" spans="1:11" ht="15" customHeight="1">
      <c r="A19" s="8" t="s">
        <v>18</v>
      </c>
      <c r="B19" s="3"/>
      <c r="C19" s="3"/>
      <c r="D19" s="3"/>
      <c r="E19" s="3"/>
      <c r="F19" s="3"/>
      <c r="G19" s="3"/>
      <c r="H19" s="3"/>
      <c r="I19" s="3"/>
      <c r="J19" s="10"/>
      <c r="K19" s="11"/>
    </row>
    <row r="20" spans="1:11" ht="15" customHeight="1">
      <c r="A20" s="8" t="s">
        <v>22</v>
      </c>
      <c r="B20" s="3"/>
      <c r="C20" s="3"/>
      <c r="D20" s="3"/>
      <c r="E20" s="3"/>
      <c r="F20" s="3"/>
      <c r="G20" s="3"/>
      <c r="H20" s="3"/>
      <c r="I20" s="3"/>
      <c r="J20" s="10"/>
      <c r="K20" s="11"/>
    </row>
    <row r="21" spans="1:11" ht="14.55" customHeight="1">
      <c r="A21" s="8" t="s">
        <v>24</v>
      </c>
      <c r="B21" s="3"/>
      <c r="C21" s="3"/>
      <c r="D21" s="3"/>
      <c r="E21" s="3"/>
      <c r="F21" s="3"/>
      <c r="G21" s="3"/>
      <c r="H21" s="3"/>
      <c r="I21" s="3"/>
      <c r="J21" s="10"/>
      <c r="K21" s="11"/>
    </row>
    <row r="22" spans="1:11" ht="14.55" customHeight="1">
      <c r="A22" s="8" t="s">
        <v>25</v>
      </c>
      <c r="B22" s="3"/>
      <c r="C22" s="3"/>
      <c r="D22" s="3"/>
      <c r="E22" s="3"/>
      <c r="F22" s="3"/>
      <c r="G22" s="3"/>
      <c r="H22" s="3"/>
      <c r="I22" s="3"/>
      <c r="J22" s="10"/>
      <c r="K22" s="11"/>
    </row>
  </sheetData>
  <mergeCells count="1">
    <mergeCell ref="A1:K1"/>
  </mergeCells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W44"/>
  <sheetViews>
    <sheetView showGridLines="0" zoomScaleNormal="100" zoomScalePageLayoutView="150" workbookViewId="0">
      <selection activeCell="J13" sqref="J13"/>
    </sheetView>
  </sheetViews>
  <sheetFormatPr defaultColWidth="8.15234375" defaultRowHeight="13.5" customHeight="1"/>
  <cols>
    <col min="1" max="9" width="8.15234375" style="13" customWidth="1"/>
    <col min="10" max="10" width="9.4609375" style="13" customWidth="1"/>
    <col min="11" max="257" width="8.15234375" style="13" customWidth="1"/>
  </cols>
  <sheetData>
    <row r="1" spans="1:11" ht="24.3" customHeight="1">
      <c r="A1" s="135" t="s">
        <v>77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4.75" customHeight="1">
      <c r="A2" s="36" t="s">
        <v>27</v>
      </c>
      <c r="B2" s="106" t="s">
        <v>0</v>
      </c>
      <c r="C2" s="106" t="s">
        <v>28</v>
      </c>
      <c r="D2" s="106" t="s">
        <v>29</v>
      </c>
      <c r="E2" s="106" t="s">
        <v>30</v>
      </c>
      <c r="F2" s="106" t="s">
        <v>31</v>
      </c>
      <c r="G2" s="106" t="s">
        <v>76</v>
      </c>
      <c r="H2" s="106" t="s">
        <v>33</v>
      </c>
      <c r="I2" s="106" t="s">
        <v>75</v>
      </c>
      <c r="J2" s="106" t="s">
        <v>59</v>
      </c>
      <c r="K2" s="106" t="s">
        <v>35</v>
      </c>
    </row>
    <row r="3" spans="1:11" ht="18" customHeight="1">
      <c r="A3" s="37" t="s">
        <v>35</v>
      </c>
      <c r="B3" s="38">
        <f>SUM(B4:B50)</f>
        <v>4956</v>
      </c>
      <c r="C3" s="38">
        <f t="shared" ref="C3:J3" si="0">SUM(C4:C50)</f>
        <v>4342</v>
      </c>
      <c r="D3" s="38">
        <f t="shared" si="0"/>
        <v>2070</v>
      </c>
      <c r="E3" s="38">
        <f t="shared" si="0"/>
        <v>1640</v>
      </c>
      <c r="F3" s="38">
        <f t="shared" si="0"/>
        <v>5028</v>
      </c>
      <c r="G3" s="38">
        <f t="shared" si="0"/>
        <v>1345</v>
      </c>
      <c r="H3" s="38">
        <f t="shared" si="0"/>
        <v>5757</v>
      </c>
      <c r="I3" s="38">
        <f t="shared" si="0"/>
        <v>1355</v>
      </c>
      <c r="J3" s="38">
        <f t="shared" si="0"/>
        <v>3750</v>
      </c>
      <c r="K3" s="39">
        <f>SUM(B3:J3)</f>
        <v>30243</v>
      </c>
    </row>
    <row r="4" spans="1:11" ht="18" customHeight="1">
      <c r="A4" s="40" t="s">
        <v>7</v>
      </c>
      <c r="B4" s="100">
        <f>'EC - Points per FMN'!B20*3</f>
        <v>0</v>
      </c>
      <c r="C4" s="100">
        <f>'JUNIOR Points pr FMN'!B20*2</f>
        <v>0</v>
      </c>
      <c r="D4" s="100">
        <f>'Over 40 Points pr FMN'!B20*2</f>
        <v>0</v>
      </c>
      <c r="E4" s="100">
        <f>'EC Inter I Points pr FMN'!B20</f>
        <v>0</v>
      </c>
      <c r="F4" s="100">
        <f>'Women Points pr FMN'!B20*3</f>
        <v>0</v>
      </c>
      <c r="G4" s="100">
        <f>'Women Inter Points pr FMN'!B20</f>
        <v>0</v>
      </c>
      <c r="H4" s="100">
        <f>'Youth Points pr FMN'!B20*3</f>
        <v>285</v>
      </c>
      <c r="I4" s="100">
        <f>'Youth Inter Points pr FMN'!B20</f>
        <v>300</v>
      </c>
      <c r="J4" s="100">
        <v>750</v>
      </c>
      <c r="K4" s="39">
        <f t="shared" ref="K4:K44" si="1">SUM(B4:J4)</f>
        <v>1335</v>
      </c>
    </row>
    <row r="5" spans="1:11" ht="18" customHeight="1">
      <c r="A5" s="40" t="s">
        <v>8</v>
      </c>
      <c r="B5" s="100">
        <f>'EC - Points per FMN'!B40*3</f>
        <v>720</v>
      </c>
      <c r="C5" s="100">
        <f>'JUNIOR Points pr FMN'!B40*2</f>
        <v>0</v>
      </c>
      <c r="D5" s="100">
        <f>'Over 40 Points pr FMN'!B40*2</f>
        <v>290</v>
      </c>
      <c r="E5" s="100">
        <f>'EC Inter I Points pr FMN'!B40</f>
        <v>260</v>
      </c>
      <c r="F5" s="100">
        <f>'Women Points pr FMN'!B40*3</f>
        <v>0</v>
      </c>
      <c r="G5" s="100">
        <f>'Women Inter Points pr FMN'!B40</f>
        <v>300</v>
      </c>
      <c r="H5" s="100">
        <f>'Youth Points pr FMN'!B40*3</f>
        <v>933</v>
      </c>
      <c r="I5" s="100">
        <f>'Youth Inter Points pr FMN'!B40</f>
        <v>85</v>
      </c>
      <c r="J5" s="100">
        <v>750</v>
      </c>
      <c r="K5" s="39">
        <f t="shared" si="1"/>
        <v>3338</v>
      </c>
    </row>
    <row r="6" spans="1:11" ht="18" customHeight="1">
      <c r="A6" s="40" t="s">
        <v>11</v>
      </c>
      <c r="B6" s="100">
        <f>'EC - Points per FMN'!B14*3</f>
        <v>1041</v>
      </c>
      <c r="C6" s="100">
        <f>'JUNIOR Points pr FMN'!B14*2</f>
        <v>580</v>
      </c>
      <c r="D6" s="100">
        <f>'Over 40 Points pr FMN'!B14*2</f>
        <v>310</v>
      </c>
      <c r="E6" s="100">
        <f>'EC Inter I Points pr FMN'!B14</f>
        <v>0</v>
      </c>
      <c r="F6" s="100">
        <f>'Women Points pr FMN'!B14*3</f>
        <v>1374</v>
      </c>
      <c r="G6" s="100">
        <f>'Women Inter Points pr FMN'!B14</f>
        <v>0</v>
      </c>
      <c r="H6" s="100">
        <f>'Youth Points pr FMN'!B14*3</f>
        <v>942</v>
      </c>
      <c r="I6" s="100">
        <f>'Youth Inter Points pr FMN'!B14</f>
        <v>190</v>
      </c>
      <c r="J6" s="100"/>
      <c r="K6" s="39">
        <f t="shared" si="1"/>
        <v>4437</v>
      </c>
    </row>
    <row r="7" spans="1:11" ht="18" customHeight="1">
      <c r="A7" s="40" t="s">
        <v>16</v>
      </c>
      <c r="B7" s="100">
        <f>'EC - Points per FMN'!B17*3</f>
        <v>90</v>
      </c>
      <c r="C7" s="100">
        <f>'JUNIOR Points pr FMN'!B17*2</f>
        <v>28</v>
      </c>
      <c r="D7" s="100">
        <f>'Over 40 Points pr FMN'!B17*2</f>
        <v>0</v>
      </c>
      <c r="E7" s="100">
        <f>'EC Inter I Points pr FMN'!B17</f>
        <v>0</v>
      </c>
      <c r="F7" s="100">
        <f>'Women Points pr FMN'!B17*3</f>
        <v>1380</v>
      </c>
      <c r="G7" s="100">
        <f>'Women Inter Points pr FMN'!B17</f>
        <v>200</v>
      </c>
      <c r="H7" s="100">
        <f>'Youth Points pr FMN'!B17*3</f>
        <v>1557</v>
      </c>
      <c r="I7" s="100">
        <f>'Youth Inter Points pr FMN'!B17</f>
        <v>165</v>
      </c>
      <c r="J7" s="100">
        <v>750</v>
      </c>
      <c r="K7" s="39">
        <f t="shared" si="1"/>
        <v>4170</v>
      </c>
    </row>
    <row r="8" spans="1:11" ht="18" customHeight="1">
      <c r="A8" s="40" t="s">
        <v>14</v>
      </c>
      <c r="B8" s="100">
        <f>'EC - Points per FMN'!B4*3</f>
        <v>720</v>
      </c>
      <c r="C8" s="100">
        <f>'JUNIOR Points pr FMN'!B4*2</f>
        <v>332</v>
      </c>
      <c r="D8" s="100">
        <f>'Over 40 Points pr FMN'!B4*2</f>
        <v>600</v>
      </c>
      <c r="E8" s="100">
        <f>'EC Inter I Points pr FMN'!B4</f>
        <v>710</v>
      </c>
      <c r="F8" s="100">
        <f>'Women Points pr FMN'!B4*3</f>
        <v>1320</v>
      </c>
      <c r="G8" s="100">
        <f>'Women Inter Points pr FMN'!B4</f>
        <v>645</v>
      </c>
      <c r="H8" s="100">
        <f>'Youth Points pr FMN'!B4*3</f>
        <v>900</v>
      </c>
      <c r="I8" s="100">
        <f>'Youth Inter Points pr FMN'!B4</f>
        <v>350</v>
      </c>
      <c r="J8" s="100">
        <v>1500</v>
      </c>
      <c r="K8" s="39">
        <f t="shared" si="1"/>
        <v>7077</v>
      </c>
    </row>
    <row r="9" spans="1:11" ht="18" customHeight="1">
      <c r="A9" s="40" t="s">
        <v>10</v>
      </c>
      <c r="B9" s="100">
        <f>'EC - Points per FMN'!B37*3</f>
        <v>615</v>
      </c>
      <c r="C9" s="100">
        <f>'JUNIOR Points pr FMN'!B37*2</f>
        <v>1118</v>
      </c>
      <c r="D9" s="100">
        <f>'Over 40 Points pr FMN'!B37*2</f>
        <v>0</v>
      </c>
      <c r="E9" s="100">
        <f>'EC Inter I Points pr FMN'!B37</f>
        <v>60</v>
      </c>
      <c r="F9" s="100">
        <f>'Women Points pr FMN'!B37*3</f>
        <v>105</v>
      </c>
      <c r="G9" s="100">
        <f>'Women Inter Points pr FMN'!B37</f>
        <v>0</v>
      </c>
      <c r="H9" s="100">
        <f>'Youth Points pr FMN'!B37*3</f>
        <v>540</v>
      </c>
      <c r="I9" s="100">
        <f>'Youth Inter Points pr FMN'!B37</f>
        <v>0</v>
      </c>
      <c r="J9" s="100"/>
      <c r="K9" s="39">
        <f t="shared" si="1"/>
        <v>2438</v>
      </c>
    </row>
    <row r="10" spans="1:11" ht="18" customHeight="1">
      <c r="A10" s="40" t="s">
        <v>20</v>
      </c>
      <c r="B10" s="100">
        <f>'EC - Points per FMN'!B19*3</f>
        <v>270</v>
      </c>
      <c r="C10" s="100">
        <f>'JUNIOR Points pr FMN'!B19*2</f>
        <v>0</v>
      </c>
      <c r="D10" s="100">
        <f>'Over 40 Points pr FMN'!B19*2</f>
        <v>0</v>
      </c>
      <c r="E10" s="100">
        <f>'EC Inter I Points pr FMN'!B19</f>
        <v>45</v>
      </c>
      <c r="F10" s="100">
        <f>'Women Points pr FMN'!B19*3</f>
        <v>0</v>
      </c>
      <c r="G10" s="100">
        <f>'Women Inter Points pr FMN'!B19</f>
        <v>0</v>
      </c>
      <c r="H10" s="100">
        <f>'Youth Points pr FMN'!B19*3</f>
        <v>0</v>
      </c>
      <c r="I10" s="100">
        <f>'Youth Inter Points pr FMN'!B19</f>
        <v>0</v>
      </c>
      <c r="J10" s="100"/>
      <c r="K10" s="39">
        <f t="shared" si="1"/>
        <v>315</v>
      </c>
    </row>
    <row r="11" spans="1:11" ht="18" customHeight="1">
      <c r="A11" s="40" t="s">
        <v>6</v>
      </c>
      <c r="B11" s="100">
        <f>'EC - Points per FMN'!B43*3</f>
        <v>0</v>
      </c>
      <c r="C11" s="100">
        <f>'JUNIOR Points pr FMN'!B43*2</f>
        <v>346</v>
      </c>
      <c r="D11" s="100">
        <f>'Over 40 Points pr FMN'!B43*2</f>
        <v>0</v>
      </c>
      <c r="E11" s="100">
        <f>'EC Inter I Points pr FMN'!B43</f>
        <v>0</v>
      </c>
      <c r="F11" s="100">
        <f>'Women Points pr FMN'!B43*3</f>
        <v>0</v>
      </c>
      <c r="G11" s="100">
        <f>'Women Inter Points pr FMN'!B43</f>
        <v>0</v>
      </c>
      <c r="H11" s="100">
        <f>'Youth Points pr FMN'!B43*3</f>
        <v>390</v>
      </c>
      <c r="I11" s="100">
        <f>'Youth Inter Points pr FMN'!B43</f>
        <v>0</v>
      </c>
      <c r="J11" s="100"/>
      <c r="K11" s="39">
        <f t="shared" si="1"/>
        <v>736</v>
      </c>
    </row>
    <row r="12" spans="1:11" ht="18" customHeight="1">
      <c r="A12" s="40" t="s">
        <v>12</v>
      </c>
      <c r="B12" s="100">
        <f>'EC - Points per FMN'!B39*3</f>
        <v>0</v>
      </c>
      <c r="C12" s="100">
        <f>'JUNIOR Points pr FMN'!B39*2</f>
        <v>810</v>
      </c>
      <c r="D12" s="100">
        <f>'Over 40 Points pr FMN'!B39*2</f>
        <v>0</v>
      </c>
      <c r="E12" s="100">
        <f>'EC Inter I Points pr FMN'!B39</f>
        <v>0</v>
      </c>
      <c r="F12" s="100">
        <f>'Women Points pr FMN'!B39*3</f>
        <v>0</v>
      </c>
      <c r="G12" s="100">
        <f>'Women Inter Points pr FMN'!B39</f>
        <v>0</v>
      </c>
      <c r="H12" s="100">
        <f>'Youth Points pr FMN'!B39*3</f>
        <v>0</v>
      </c>
      <c r="I12" s="100">
        <f>'Youth Inter Points pr FMN'!B39</f>
        <v>50</v>
      </c>
      <c r="J12" s="100"/>
      <c r="K12" s="39">
        <f t="shared" si="1"/>
        <v>860</v>
      </c>
    </row>
    <row r="13" spans="1:11" ht="18" customHeight="1">
      <c r="A13" s="40" t="s">
        <v>17</v>
      </c>
      <c r="B13" s="100">
        <f>'EC - Points per FMN'!B26*3</f>
        <v>0</v>
      </c>
      <c r="C13" s="100">
        <f>'JUNIOR Points pr FMN'!B26*2</f>
        <v>0</v>
      </c>
      <c r="D13" s="100">
        <f>'Over 40 Points pr FMN'!B26*2</f>
        <v>0</v>
      </c>
      <c r="E13" s="100">
        <f>'EC Inter I Points pr FMN'!B26</f>
        <v>200</v>
      </c>
      <c r="F13" s="100">
        <f>'Women Points pr FMN'!B26*3</f>
        <v>48</v>
      </c>
      <c r="G13" s="100">
        <f>'Women Inter Points pr FMN'!B26</f>
        <v>0</v>
      </c>
      <c r="H13" s="100">
        <f>'Youth Points pr FMN'!B26*3</f>
        <v>0</v>
      </c>
      <c r="I13" s="100">
        <f>'Youth Inter Points pr FMN'!B26</f>
        <v>0</v>
      </c>
      <c r="J13" s="100"/>
      <c r="K13" s="39">
        <f t="shared" si="1"/>
        <v>248</v>
      </c>
    </row>
    <row r="14" spans="1:11" ht="18" customHeight="1">
      <c r="A14" s="40" t="s">
        <v>62</v>
      </c>
      <c r="B14" s="100">
        <f>'EC - Points per FMN'!B38*3</f>
        <v>765</v>
      </c>
      <c r="C14" s="100">
        <f>'JUNIOR Points pr FMN'!B38*2</f>
        <v>0</v>
      </c>
      <c r="D14" s="100">
        <f>'Over 40 Points pr FMN'!B38*2</f>
        <v>0</v>
      </c>
      <c r="E14" s="100">
        <f>'EC Inter I Points pr FMN'!B38</f>
        <v>0</v>
      </c>
      <c r="F14" s="100">
        <f>'Women Points pr FMN'!B38*3</f>
        <v>0</v>
      </c>
      <c r="G14" s="100">
        <f>'Women Inter Points pr FMN'!B38</f>
        <v>0</v>
      </c>
      <c r="H14" s="100">
        <f>'Youth Points pr FMN'!B38*3</f>
        <v>210</v>
      </c>
      <c r="I14" s="100">
        <f>'Youth Inter Points pr FMN'!B38</f>
        <v>0</v>
      </c>
      <c r="J14" s="100"/>
      <c r="K14" s="39">
        <f t="shared" si="1"/>
        <v>975</v>
      </c>
    </row>
    <row r="15" spans="1:11" ht="18" customHeight="1">
      <c r="A15" s="40" t="s">
        <v>9</v>
      </c>
      <c r="B15" s="100">
        <f>'EC - Points per FMN'!B3*3</f>
        <v>270</v>
      </c>
      <c r="C15" s="100">
        <f>'JUNIOR Points pr FMN'!B3*2</f>
        <v>190</v>
      </c>
      <c r="D15" s="100">
        <f>'Over 40 Points pr FMN'!B3*2</f>
        <v>140</v>
      </c>
      <c r="E15" s="100">
        <f>'EC Inter I Points pr FMN'!B3</f>
        <v>170</v>
      </c>
      <c r="F15" s="100">
        <f>'Women Points pr FMN'!B3*3</f>
        <v>390</v>
      </c>
      <c r="G15" s="100">
        <f>'Women Inter Points pr FMN'!B3</f>
        <v>0</v>
      </c>
      <c r="H15" s="100">
        <f>'Youth Points pr FMN'!B3*3</f>
        <v>0</v>
      </c>
      <c r="I15" s="100">
        <f>'Youth Inter Points pr FMN'!B3</f>
        <v>165</v>
      </c>
      <c r="J15" s="100"/>
      <c r="K15" s="39">
        <f t="shared" si="1"/>
        <v>1325</v>
      </c>
    </row>
    <row r="16" spans="1:11" ht="18" customHeight="1">
      <c r="A16" s="40" t="s">
        <v>19</v>
      </c>
      <c r="B16" s="100">
        <f>'EC - Points per FMN'!B41*3</f>
        <v>0</v>
      </c>
      <c r="C16" s="100">
        <f>'JUNIOR Points pr FMN'!B41*2</f>
        <v>0</v>
      </c>
      <c r="D16" s="100">
        <f>'Over 40 Points pr FMN'!B41*2</f>
        <v>0</v>
      </c>
      <c r="E16" s="100">
        <f>'EC Inter I Points pr FMN'!B41</f>
        <v>0</v>
      </c>
      <c r="F16" s="100">
        <f>'Women Points pr FMN'!B41*3</f>
        <v>0</v>
      </c>
      <c r="G16" s="100">
        <f>'Women Inter Points pr FMN'!B41</f>
        <v>0</v>
      </c>
      <c r="H16" s="100">
        <f>'Youth Points pr FMN'!B41*3</f>
        <v>0</v>
      </c>
      <c r="I16" s="100">
        <f>'Youth Inter Points pr FMN'!B41</f>
        <v>0</v>
      </c>
      <c r="J16" s="100"/>
      <c r="K16" s="39">
        <f t="shared" si="1"/>
        <v>0</v>
      </c>
    </row>
    <row r="17" spans="1:11" ht="18" customHeight="1">
      <c r="A17" s="40" t="s">
        <v>23</v>
      </c>
      <c r="B17" s="100">
        <f>'EC - Points per FMN'!B15*3</f>
        <v>0</v>
      </c>
      <c r="C17" s="100">
        <f>'JUNIOR Points pr FMN'!B15*2</f>
        <v>370</v>
      </c>
      <c r="D17" s="100">
        <f>'Over 40 Points pr FMN'!B15*2</f>
        <v>210</v>
      </c>
      <c r="E17" s="100">
        <f>'EC Inter I Points pr FMN'!B15</f>
        <v>50</v>
      </c>
      <c r="F17" s="100">
        <f>'Women Points pr FMN'!B15*3</f>
        <v>186</v>
      </c>
      <c r="G17" s="100">
        <f>'Women Inter Points pr FMN'!B15</f>
        <v>0</v>
      </c>
      <c r="H17" s="100">
        <f>'Youth Points pr FMN'!B15*3</f>
        <v>0</v>
      </c>
      <c r="I17" s="100">
        <f>'Youth Inter Points pr FMN'!B15</f>
        <v>0</v>
      </c>
      <c r="J17" s="100"/>
      <c r="K17" s="39">
        <f t="shared" si="1"/>
        <v>816</v>
      </c>
    </row>
    <row r="18" spans="1:11" ht="18" customHeight="1">
      <c r="A18" s="40" t="s">
        <v>37</v>
      </c>
      <c r="B18" s="100">
        <f>'EC - Points per FMN'!B5*3</f>
        <v>0</v>
      </c>
      <c r="C18" s="100">
        <f>'JUNIOR Points pr FMN'!B5*2</f>
        <v>0</v>
      </c>
      <c r="D18" s="100">
        <f>'Over 40 Points pr FMN'!B5*2</f>
        <v>0</v>
      </c>
      <c r="E18" s="100">
        <f>'EC Inter I Points pr FMN'!B5</f>
        <v>0</v>
      </c>
      <c r="F18" s="100">
        <f>'Women Points pr FMN'!B5*3</f>
        <v>0</v>
      </c>
      <c r="G18" s="100">
        <f>'Women Inter Points pr FMN'!B5</f>
        <v>0</v>
      </c>
      <c r="H18" s="100">
        <f>'Youth Points pr FMN'!B5*3</f>
        <v>0</v>
      </c>
      <c r="I18" s="100">
        <f>'Youth Inter Points pr FMN'!B5</f>
        <v>0</v>
      </c>
      <c r="J18" s="100"/>
      <c r="K18" s="39">
        <f t="shared" si="1"/>
        <v>0</v>
      </c>
    </row>
    <row r="19" spans="1:11" ht="18" customHeight="1">
      <c r="A19" s="40" t="s">
        <v>15</v>
      </c>
      <c r="B19" s="100">
        <f>'EC - Points per FMN'!B42*3</f>
        <v>0</v>
      </c>
      <c r="C19" s="100">
        <f>'JUNIOR Points pr FMN'!B42*2</f>
        <v>398</v>
      </c>
      <c r="D19" s="100">
        <f>'Over 40 Points pr FMN'!B42*2</f>
        <v>520</v>
      </c>
      <c r="E19" s="100">
        <f>'EC Inter I Points pr FMN'!B42</f>
        <v>0</v>
      </c>
      <c r="F19" s="100">
        <f>'Women Points pr FMN'!B42*3</f>
        <v>0</v>
      </c>
      <c r="G19" s="100">
        <f>'Women Inter Points pr FMN'!B42</f>
        <v>0</v>
      </c>
      <c r="H19" s="100">
        <f>'Youth Points pr FMN'!B42*3</f>
        <v>0</v>
      </c>
      <c r="I19" s="100">
        <f>'Youth Inter Points pr FMN'!B42</f>
        <v>50</v>
      </c>
      <c r="J19" s="100"/>
      <c r="K19" s="39">
        <f t="shared" si="1"/>
        <v>968</v>
      </c>
    </row>
    <row r="20" spans="1:11" ht="18" customHeight="1">
      <c r="A20" s="40" t="s">
        <v>47</v>
      </c>
      <c r="B20" s="100">
        <f>'EC - Points per FMN'!B23*3</f>
        <v>465</v>
      </c>
      <c r="C20" s="100">
        <f>'JUNIOR Points pr FMN'!B23*2</f>
        <v>0</v>
      </c>
      <c r="D20" s="100">
        <f>'Over 40 Points pr FMN'!B23*2</f>
        <v>0</v>
      </c>
      <c r="E20" s="100">
        <f>'EC Inter I Points pr FMN'!B23</f>
        <v>0</v>
      </c>
      <c r="F20" s="100">
        <f>'Women Points pr FMN'!B23*3</f>
        <v>0</v>
      </c>
      <c r="G20" s="100">
        <f>'Women Inter Points pr FMN'!B23</f>
        <v>55</v>
      </c>
      <c r="H20" s="100">
        <f>'Youth Points pr FMN'!B23*3</f>
        <v>0</v>
      </c>
      <c r="I20" s="100">
        <f>'Youth Inter Points pr FMN'!B23</f>
        <v>0</v>
      </c>
      <c r="J20" s="100"/>
      <c r="K20" s="39">
        <f t="shared" si="1"/>
        <v>520</v>
      </c>
    </row>
    <row r="21" spans="1:11" ht="18" customHeight="1">
      <c r="A21" s="40" t="s">
        <v>53</v>
      </c>
      <c r="B21" s="100">
        <f>'EC - Points per FMN'!B32*3</f>
        <v>0</v>
      </c>
      <c r="C21" s="100">
        <f>'JUNIOR Points pr FMN'!B32*2</f>
        <v>0</v>
      </c>
      <c r="D21" s="100">
        <f>'Over 40 Points pr FMN'!B32*2</f>
        <v>0</v>
      </c>
      <c r="E21" s="100">
        <f>'EC Inter I Points pr FMN'!B32</f>
        <v>0</v>
      </c>
      <c r="F21" s="100">
        <f>'Women Points pr FMN'!B32*3</f>
        <v>0</v>
      </c>
      <c r="G21" s="100">
        <f>'Women Inter Points pr FMN'!B32</f>
        <v>0</v>
      </c>
      <c r="H21" s="100">
        <f>'Youth Points pr FMN'!B32*3</f>
        <v>0</v>
      </c>
      <c r="I21" s="100">
        <f>'Youth Inter Points pr FMN'!B32</f>
        <v>0</v>
      </c>
      <c r="J21" s="100"/>
      <c r="K21" s="39">
        <f t="shared" si="1"/>
        <v>0</v>
      </c>
    </row>
    <row r="22" spans="1:11" ht="18" customHeight="1">
      <c r="A22" s="40" t="s">
        <v>61</v>
      </c>
      <c r="B22" s="100">
        <f>'EC - Points per FMN'!B27*3</f>
        <v>0</v>
      </c>
      <c r="C22" s="100">
        <f>'JUNIOR Points pr FMN'!B27*2</f>
        <v>0</v>
      </c>
      <c r="D22" s="100">
        <f>'Over 40 Points pr FMN'!B27*2</f>
        <v>0</v>
      </c>
      <c r="E22" s="100">
        <f>'EC Inter I Points pr FMN'!B27</f>
        <v>0</v>
      </c>
      <c r="F22" s="100">
        <f>'Women Points pr FMN'!B27*3</f>
        <v>0</v>
      </c>
      <c r="G22" s="100">
        <f>'Women Inter Points pr FMN'!B27</f>
        <v>0</v>
      </c>
      <c r="H22" s="100">
        <f>'Youth Points pr FMN'!B27*3</f>
        <v>0</v>
      </c>
      <c r="I22" s="100">
        <f>'Youth Inter Points pr FMN'!B27</f>
        <v>0</v>
      </c>
      <c r="J22" s="100"/>
      <c r="K22" s="39">
        <f t="shared" si="1"/>
        <v>0</v>
      </c>
    </row>
    <row r="23" spans="1:11" ht="18" customHeight="1">
      <c r="A23" s="40" t="s">
        <v>38</v>
      </c>
      <c r="B23" s="100">
        <f>'EC - Points per FMN'!B6*3</f>
        <v>0</v>
      </c>
      <c r="C23" s="100">
        <f>'JUNIOR Points pr FMN'!B6*2</f>
        <v>0</v>
      </c>
      <c r="D23" s="100">
        <f>'Over 40 Points pr FMN'!B6*2</f>
        <v>0</v>
      </c>
      <c r="E23" s="100">
        <f>'EC Inter I Points pr FMN'!B6</f>
        <v>0</v>
      </c>
      <c r="F23" s="100">
        <f>'Women Points pr FMN'!B6*3</f>
        <v>0</v>
      </c>
      <c r="G23" s="100">
        <f>'Women Inter Points pr FMN'!B6</f>
        <v>0</v>
      </c>
      <c r="H23" s="100">
        <f>'Youth Points pr FMN'!B6*3</f>
        <v>0</v>
      </c>
      <c r="I23" s="100">
        <f>'Youth Inter Points pr FMN'!B6</f>
        <v>0</v>
      </c>
      <c r="J23" s="100"/>
      <c r="K23" s="39">
        <f t="shared" si="1"/>
        <v>0</v>
      </c>
    </row>
    <row r="24" spans="1:11" ht="18" customHeight="1">
      <c r="A24" s="40" t="s">
        <v>60</v>
      </c>
      <c r="B24" s="100">
        <f>'EC - Points per FMN'!B7*3</f>
        <v>0</v>
      </c>
      <c r="C24" s="100">
        <f>'JUNIOR Points pr FMN'!B7*2</f>
        <v>0</v>
      </c>
      <c r="D24" s="100">
        <f>'Over 40 Points pr FMN'!B7*2</f>
        <v>0</v>
      </c>
      <c r="E24" s="100">
        <f>'EC Inter I Points pr FMN'!B7</f>
        <v>0</v>
      </c>
      <c r="F24" s="100">
        <f>'Women Points pr FMN'!B7*3</f>
        <v>0</v>
      </c>
      <c r="G24" s="100">
        <f>'Women Inter Points pr FMN'!B7</f>
        <v>0</v>
      </c>
      <c r="H24" s="100">
        <f>'Youth Points pr FMN'!B7*3</f>
        <v>0</v>
      </c>
      <c r="I24" s="100">
        <f>'Youth Inter Points pr FMN'!B7</f>
        <v>0</v>
      </c>
      <c r="J24" s="100"/>
      <c r="K24" s="39">
        <f t="shared" si="1"/>
        <v>0</v>
      </c>
    </row>
    <row r="25" spans="1:11" ht="18" customHeight="1">
      <c r="A25" s="40" t="s">
        <v>39</v>
      </c>
      <c r="B25" s="100">
        <f>'EC - Points per FMN'!B8*3</f>
        <v>0</v>
      </c>
      <c r="C25" s="100">
        <f>'JUNIOR Points pr FMN'!B8*2</f>
        <v>0</v>
      </c>
      <c r="D25" s="100">
        <f>'Over 40 Points pr FMN'!B8*2</f>
        <v>0</v>
      </c>
      <c r="E25" s="100">
        <f>'EC Inter I Points pr FMN'!B8</f>
        <v>0</v>
      </c>
      <c r="F25" s="100">
        <f>'Women Points pr FMN'!B8*3</f>
        <v>0</v>
      </c>
      <c r="G25" s="100">
        <f>'Women Inter Points pr FMN'!B8</f>
        <v>0</v>
      </c>
      <c r="H25" s="100">
        <f>'Youth Points pr FMN'!B8*3</f>
        <v>0</v>
      </c>
      <c r="I25" s="100">
        <f>'Youth Inter Points pr FMN'!B8</f>
        <v>0</v>
      </c>
      <c r="J25" s="100"/>
      <c r="K25" s="39">
        <f t="shared" si="1"/>
        <v>0</v>
      </c>
    </row>
    <row r="26" spans="1:11" ht="18" customHeight="1">
      <c r="A26" s="40" t="s">
        <v>40</v>
      </c>
      <c r="B26" s="100">
        <f>'EC - Points per FMN'!B9*3</f>
        <v>0</v>
      </c>
      <c r="C26" s="100">
        <f>'JUNIOR Points pr FMN'!B9*2</f>
        <v>0</v>
      </c>
      <c r="D26" s="100">
        <f>'Over 40 Points pr FMN'!B9*2</f>
        <v>0</v>
      </c>
      <c r="E26" s="100">
        <f>'EC Inter I Points pr FMN'!B9</f>
        <v>0</v>
      </c>
      <c r="F26" s="100">
        <f>'Women Points pr FMN'!B9*3</f>
        <v>0</v>
      </c>
      <c r="G26" s="100">
        <f>'Women Inter Points pr FMN'!B9</f>
        <v>0</v>
      </c>
      <c r="H26" s="100">
        <f>'Youth Points pr FMN'!B9*3</f>
        <v>0</v>
      </c>
      <c r="I26" s="100">
        <f>'Youth Inter Points pr FMN'!B9</f>
        <v>0</v>
      </c>
      <c r="J26" s="100"/>
      <c r="K26" s="39">
        <f t="shared" si="1"/>
        <v>0</v>
      </c>
    </row>
    <row r="27" spans="1:11" ht="18" customHeight="1">
      <c r="A27" s="40" t="s">
        <v>41</v>
      </c>
      <c r="B27" s="100">
        <f>'EC - Points per FMN'!B10*3</f>
        <v>0</v>
      </c>
      <c r="C27" s="100">
        <f>'JUNIOR Points pr FMN'!B10*2</f>
        <v>0</v>
      </c>
      <c r="D27" s="100">
        <f>'Over 40 Points pr FMN'!B10*2</f>
        <v>0</v>
      </c>
      <c r="E27" s="100">
        <f>'EC Inter I Points pr FMN'!B10</f>
        <v>0</v>
      </c>
      <c r="F27" s="100">
        <f>'Women Points pr FMN'!B10*3</f>
        <v>0</v>
      </c>
      <c r="G27" s="100">
        <f>'Women Inter Points pr FMN'!B10</f>
        <v>0</v>
      </c>
      <c r="H27" s="100">
        <f>'Youth Points pr FMN'!B10*3</f>
        <v>0</v>
      </c>
      <c r="I27" s="100">
        <f>'Youth Inter Points pr FMN'!B10</f>
        <v>0</v>
      </c>
      <c r="J27" s="100"/>
      <c r="K27" s="39">
        <f t="shared" si="1"/>
        <v>0</v>
      </c>
    </row>
    <row r="28" spans="1:11" ht="18" customHeight="1">
      <c r="A28" s="40" t="s">
        <v>42</v>
      </c>
      <c r="B28" s="100">
        <f>'EC - Points per FMN'!B11*3</f>
        <v>0</v>
      </c>
      <c r="C28" s="100">
        <f>'JUNIOR Points pr FMN'!B11*2</f>
        <v>0</v>
      </c>
      <c r="D28" s="100">
        <f>'Over 40 Points pr FMN'!B11*2</f>
        <v>0</v>
      </c>
      <c r="E28" s="100">
        <f>'EC Inter I Points pr FMN'!B11</f>
        <v>0</v>
      </c>
      <c r="F28" s="100">
        <f>'Women Points pr FMN'!B11*3</f>
        <v>0</v>
      </c>
      <c r="G28" s="100">
        <f>'Women Inter Points pr FMN'!B11</f>
        <v>0</v>
      </c>
      <c r="H28" s="100">
        <f>'Youth Points pr FMN'!B11*3</f>
        <v>0</v>
      </c>
      <c r="I28" s="100">
        <f>'Youth Inter Points pr FMN'!B11</f>
        <v>0</v>
      </c>
      <c r="J28" s="100"/>
      <c r="K28" s="39">
        <f t="shared" si="1"/>
        <v>0</v>
      </c>
    </row>
    <row r="29" spans="1:11" ht="18" customHeight="1">
      <c r="A29" s="40" t="s">
        <v>25</v>
      </c>
      <c r="B29" s="100">
        <f>'EC - Points per FMN'!B12*3</f>
        <v>0</v>
      </c>
      <c r="C29" s="100">
        <f>'JUNIOR Points pr FMN'!B12*2</f>
        <v>0</v>
      </c>
      <c r="D29" s="100">
        <f>'Over 40 Points pr FMN'!B12*2</f>
        <v>0</v>
      </c>
      <c r="E29" s="100">
        <f>'EC Inter I Points pr FMN'!B12</f>
        <v>0</v>
      </c>
      <c r="F29" s="100">
        <f>'Women Points pr FMN'!B12*3</f>
        <v>0</v>
      </c>
      <c r="G29" s="100">
        <f>'Women Inter Points pr FMN'!B12</f>
        <v>0</v>
      </c>
      <c r="H29" s="100">
        <f>'Youth Points pr FMN'!B12*3</f>
        <v>0</v>
      </c>
      <c r="I29" s="100">
        <f>'Youth Inter Points pr FMN'!B12</f>
        <v>0</v>
      </c>
      <c r="J29" s="100"/>
      <c r="K29" s="39">
        <f t="shared" si="1"/>
        <v>0</v>
      </c>
    </row>
    <row r="30" spans="1:11" ht="18" customHeight="1">
      <c r="A30" s="40" t="s">
        <v>43</v>
      </c>
      <c r="B30" s="100">
        <f>'EC - Points per FMN'!B13*3</f>
        <v>0</v>
      </c>
      <c r="C30" s="100">
        <f>'JUNIOR Points pr FMN'!B13*2</f>
        <v>0</v>
      </c>
      <c r="D30" s="100">
        <f>'Over 40 Points pr FMN'!B13*2</f>
        <v>0</v>
      </c>
      <c r="E30" s="100">
        <f>'EC Inter I Points pr FMN'!B13</f>
        <v>0</v>
      </c>
      <c r="F30" s="100">
        <f>'Women Points pr FMN'!B13*3</f>
        <v>0</v>
      </c>
      <c r="G30" s="100">
        <f>'Women Inter Points pr FMN'!B13</f>
        <v>0</v>
      </c>
      <c r="H30" s="100">
        <f>'Youth Points pr FMN'!B13*3</f>
        <v>0</v>
      </c>
      <c r="I30" s="100">
        <f>'Youth Inter Points pr FMN'!B13</f>
        <v>0</v>
      </c>
      <c r="J30" s="100"/>
      <c r="K30" s="39">
        <f t="shared" si="1"/>
        <v>0</v>
      </c>
    </row>
    <row r="31" spans="1:11" ht="18" customHeight="1">
      <c r="A31" s="40" t="s">
        <v>22</v>
      </c>
      <c r="B31" s="100">
        <f>'EC - Points per FMN'!B16*3</f>
        <v>0</v>
      </c>
      <c r="C31" s="100">
        <f>'JUNIOR Points pr FMN'!B16*2</f>
        <v>0</v>
      </c>
      <c r="D31" s="100">
        <f>'Over 40 Points pr FMN'!B16*2</f>
        <v>0</v>
      </c>
      <c r="E31" s="100">
        <f>'EC Inter I Points pr FMN'!B16</f>
        <v>145</v>
      </c>
      <c r="F31" s="100">
        <f>'Women Points pr FMN'!B16*3</f>
        <v>225</v>
      </c>
      <c r="G31" s="100">
        <f>'Women Inter Points pr FMN'!B16</f>
        <v>0</v>
      </c>
      <c r="H31" s="100">
        <f>'Youth Points pr FMN'!B16*3</f>
        <v>0</v>
      </c>
      <c r="I31" s="100">
        <f>'Youth Inter Points pr FMN'!B16</f>
        <v>0</v>
      </c>
      <c r="J31" s="100"/>
      <c r="K31" s="39">
        <f t="shared" si="1"/>
        <v>370</v>
      </c>
    </row>
    <row r="32" spans="1:11" ht="18" customHeight="1">
      <c r="A32" s="40" t="s">
        <v>44</v>
      </c>
      <c r="B32" s="100">
        <f>'EC - Points per FMN'!B18*3</f>
        <v>0</v>
      </c>
      <c r="C32" s="100">
        <f>'JUNIOR Points pr FMN'!B18*2</f>
        <v>38</v>
      </c>
      <c r="D32" s="100">
        <f>'Over 40 Points pr FMN'!B18*2</f>
        <v>0</v>
      </c>
      <c r="E32" s="100">
        <f>'EC Inter I Points pr FMN'!B18</f>
        <v>0</v>
      </c>
      <c r="F32" s="100">
        <f>'Women Points pr FMN'!B18*3</f>
        <v>0</v>
      </c>
      <c r="G32" s="100">
        <f>'Women Inter Points pr FMN'!B18</f>
        <v>145</v>
      </c>
      <c r="H32" s="100">
        <f>'Youth Points pr FMN'!B18*3</f>
        <v>0</v>
      </c>
      <c r="I32" s="100">
        <f>'Youth Inter Points pr FMN'!B18</f>
        <v>0</v>
      </c>
      <c r="J32" s="100"/>
      <c r="K32" s="39">
        <f t="shared" si="1"/>
        <v>183</v>
      </c>
    </row>
    <row r="33" spans="1:257" ht="18" customHeight="1">
      <c r="A33" s="40" t="s">
        <v>45</v>
      </c>
      <c r="B33" s="100">
        <f>'EC - Points per FMN'!B21*3</f>
        <v>0</v>
      </c>
      <c r="C33" s="100">
        <f>'JUNIOR Points pr FMN'!B21*2</f>
        <v>0</v>
      </c>
      <c r="D33" s="100">
        <f>'Over 40 Points pr FMN'!B21*2</f>
        <v>0</v>
      </c>
      <c r="E33" s="100">
        <f>'EC Inter I Points pr FMN'!B21</f>
        <v>0</v>
      </c>
      <c r="F33" s="100">
        <f>'Women Points pr FMN'!B21*3</f>
        <v>0</v>
      </c>
      <c r="G33" s="100">
        <f>'Women Inter Points pr FMN'!B21</f>
        <v>0</v>
      </c>
      <c r="H33" s="100">
        <f>'Youth Points pr FMN'!B21*3</f>
        <v>0</v>
      </c>
      <c r="I33" s="100">
        <f>'Youth Inter Points pr FMN'!B21</f>
        <v>0</v>
      </c>
      <c r="J33" s="100"/>
      <c r="K33" s="39">
        <f t="shared" si="1"/>
        <v>0</v>
      </c>
    </row>
    <row r="34" spans="1:257" ht="18" customHeight="1">
      <c r="A34" s="40" t="s">
        <v>46</v>
      </c>
      <c r="B34" s="100">
        <f>'EC - Points per FMN'!B22*3</f>
        <v>0</v>
      </c>
      <c r="C34" s="100">
        <f>'JUNIOR Points pr FMN'!B22*2</f>
        <v>0</v>
      </c>
      <c r="D34" s="100">
        <f>'Over 40 Points pr FMN'!B22*2</f>
        <v>0</v>
      </c>
      <c r="E34" s="100">
        <f>'EC Inter I Points pr FMN'!B22</f>
        <v>0</v>
      </c>
      <c r="F34" s="100">
        <f>'Women Points pr FMN'!B22*3</f>
        <v>0</v>
      </c>
      <c r="G34" s="100">
        <f>'Women Inter Points pr FMN'!B22</f>
        <v>0</v>
      </c>
      <c r="H34" s="100">
        <f>'Youth Points pr FMN'!B22*3</f>
        <v>0</v>
      </c>
      <c r="I34" s="100">
        <f>'Youth Inter Points pr FMN'!B22</f>
        <v>0</v>
      </c>
      <c r="J34" s="100"/>
      <c r="K34" s="39">
        <f t="shared" si="1"/>
        <v>0</v>
      </c>
    </row>
    <row r="35" spans="1:257" ht="18" customHeight="1">
      <c r="A35" s="40" t="s">
        <v>48</v>
      </c>
      <c r="B35" s="100">
        <f>'EC - Points per FMN'!B24*3</f>
        <v>0</v>
      </c>
      <c r="C35" s="100">
        <f>'JUNIOR Points pr FMN'!B24*2</f>
        <v>0</v>
      </c>
      <c r="D35" s="100">
        <f>'Over 40 Points pr FMN'!B24*2</f>
        <v>0</v>
      </c>
      <c r="E35" s="100">
        <f>'EC Inter I Points pr FMN'!B24</f>
        <v>0</v>
      </c>
      <c r="F35" s="100">
        <f>'Women Points pr FMN'!B24*3</f>
        <v>0</v>
      </c>
      <c r="G35" s="100">
        <f>'Women Inter Points pr FMN'!B24</f>
        <v>0</v>
      </c>
      <c r="H35" s="100">
        <f>'Youth Points pr FMN'!B24*3</f>
        <v>0</v>
      </c>
      <c r="I35" s="100">
        <f>'Youth Inter Points pr FMN'!B24</f>
        <v>0</v>
      </c>
      <c r="J35" s="100"/>
      <c r="K35" s="39">
        <f t="shared" si="1"/>
        <v>0</v>
      </c>
    </row>
    <row r="36" spans="1:257" ht="18" customHeight="1">
      <c r="A36" s="40" t="s">
        <v>49</v>
      </c>
      <c r="B36" s="100">
        <f>'EC - Points per FMN'!B25*3</f>
        <v>0</v>
      </c>
      <c r="C36" s="100">
        <f>'JUNIOR Points pr FMN'!B25*2</f>
        <v>0</v>
      </c>
      <c r="D36" s="100">
        <f>'Over 40 Points pr FMN'!B25*2</f>
        <v>0</v>
      </c>
      <c r="E36" s="100">
        <f>'EC Inter I Points pr FMN'!B25</f>
        <v>0</v>
      </c>
      <c r="F36" s="100">
        <f>'Women Points pr FMN'!B25*3</f>
        <v>0</v>
      </c>
      <c r="G36" s="100">
        <f>'Women Inter Points pr FMN'!B25</f>
        <v>0</v>
      </c>
      <c r="H36" s="100">
        <f>'Youth Points pr FMN'!B25*3</f>
        <v>0</v>
      </c>
      <c r="I36" s="100">
        <f>'Youth Inter Points pr FMN'!B25</f>
        <v>0</v>
      </c>
      <c r="J36" s="100"/>
      <c r="K36" s="39">
        <f t="shared" si="1"/>
        <v>0</v>
      </c>
    </row>
    <row r="37" spans="1:257" ht="18" customHeight="1">
      <c r="A37" s="40" t="s">
        <v>50</v>
      </c>
      <c r="B37" s="100">
        <f>'EC - Points per FMN'!B28*3</f>
        <v>0</v>
      </c>
      <c r="C37" s="100">
        <f>'JUNIOR Points pr FMN'!B28*2</f>
        <v>0</v>
      </c>
      <c r="D37" s="100">
        <f>'Over 40 Points pr FMN'!B28*2</f>
        <v>0</v>
      </c>
      <c r="E37" s="100">
        <f>'EC Inter I Points pr FMN'!B28</f>
        <v>0</v>
      </c>
      <c r="F37" s="100">
        <f>'Women Points pr FMN'!B28*3</f>
        <v>0</v>
      </c>
      <c r="G37" s="100">
        <f>'Women Inter Points pr FMN'!B28</f>
        <v>0</v>
      </c>
      <c r="H37" s="100">
        <f>'Youth Points pr FMN'!B28*3</f>
        <v>0</v>
      </c>
      <c r="I37" s="100">
        <f>'Youth Inter Points pr FMN'!B28</f>
        <v>0</v>
      </c>
      <c r="J37" s="100"/>
      <c r="K37" s="39">
        <f t="shared" si="1"/>
        <v>0</v>
      </c>
    </row>
    <row r="38" spans="1:257" ht="18" customHeight="1">
      <c r="A38" s="40" t="s">
        <v>24</v>
      </c>
      <c r="B38" s="100">
        <f>'EC - Points per FMN'!B29*3</f>
        <v>0</v>
      </c>
      <c r="C38" s="100">
        <f>'JUNIOR Points pr FMN'!B29*2</f>
        <v>0</v>
      </c>
      <c r="D38" s="100">
        <f>'Over 40 Points pr FMN'!B29*2</f>
        <v>0</v>
      </c>
      <c r="E38" s="100">
        <f>'EC Inter I Points pr FMN'!B29</f>
        <v>0</v>
      </c>
      <c r="F38" s="100">
        <f>'Women Points pr FMN'!B29*3</f>
        <v>0</v>
      </c>
      <c r="G38" s="100">
        <f>'Women Inter Points pr FMN'!B29</f>
        <v>0</v>
      </c>
      <c r="H38" s="100">
        <f>'Youth Points pr FMN'!B29*3</f>
        <v>0</v>
      </c>
      <c r="I38" s="100">
        <f>'Youth Inter Points pr FMN'!B29</f>
        <v>0</v>
      </c>
      <c r="J38" s="100"/>
      <c r="K38" s="39">
        <f t="shared" si="1"/>
        <v>0</v>
      </c>
    </row>
    <row r="39" spans="1:257" ht="18" customHeight="1">
      <c r="A39" s="40" t="s">
        <v>51</v>
      </c>
      <c r="B39" s="100">
        <f>'EC - Points per FMN'!B30*3</f>
        <v>0</v>
      </c>
      <c r="C39" s="100">
        <f>'JUNIOR Points pr FMN'!B30*2</f>
        <v>132</v>
      </c>
      <c r="D39" s="100">
        <f>'Over 40 Points pr FMN'!B30*2</f>
        <v>0</v>
      </c>
      <c r="E39" s="100">
        <f>'EC Inter I Points pr FMN'!B30</f>
        <v>0</v>
      </c>
      <c r="F39" s="100">
        <f>'Women Points pr FMN'!B30*3</f>
        <v>0</v>
      </c>
      <c r="G39" s="100">
        <f>'Women Inter Points pr FMN'!B30</f>
        <v>0</v>
      </c>
      <c r="H39" s="100">
        <f>'Youth Points pr FMN'!B30*3</f>
        <v>0</v>
      </c>
      <c r="I39" s="100">
        <f>'Youth Inter Points pr FMN'!B30</f>
        <v>0</v>
      </c>
      <c r="J39" s="100"/>
      <c r="K39" s="39">
        <f t="shared" si="1"/>
        <v>132</v>
      </c>
    </row>
    <row r="40" spans="1:257" ht="18" customHeight="1">
      <c r="A40" s="40" t="s">
        <v>52</v>
      </c>
      <c r="B40" s="100">
        <f>'EC - Points per FMN'!B31*3</f>
        <v>0</v>
      </c>
      <c r="C40" s="100">
        <f>'JUNIOR Points pr FMN'!B31*2</f>
        <v>0</v>
      </c>
      <c r="D40" s="100">
        <f>'Over 40 Points pr FMN'!B31*2</f>
        <v>0</v>
      </c>
      <c r="E40" s="100">
        <f>'EC Inter I Points pr FMN'!B31</f>
        <v>0</v>
      </c>
      <c r="F40" s="100">
        <f>'Women Points pr FMN'!B31*3</f>
        <v>0</v>
      </c>
      <c r="G40" s="100">
        <f>'Women Inter Points pr FMN'!B31</f>
        <v>0</v>
      </c>
      <c r="H40" s="100">
        <f>'Youth Points pr FMN'!B31*3</f>
        <v>0</v>
      </c>
      <c r="I40" s="100">
        <f>'Youth Inter Points pr FMN'!B31</f>
        <v>0</v>
      </c>
      <c r="J40" s="100"/>
      <c r="K40" s="39">
        <f t="shared" si="1"/>
        <v>0</v>
      </c>
    </row>
    <row r="41" spans="1:257" ht="18" customHeight="1">
      <c r="A41" s="40" t="s">
        <v>54</v>
      </c>
      <c r="B41" s="100">
        <f>'EC - Points per FMN'!B33*3</f>
        <v>0</v>
      </c>
      <c r="C41" s="100">
        <f>'JUNIOR Points pr FMN'!B33*2</f>
        <v>0</v>
      </c>
      <c r="D41" s="100">
        <f>'Over 40 Points pr FMN'!B33*2</f>
        <v>0</v>
      </c>
      <c r="E41" s="100">
        <f>'EC Inter I Points pr FMN'!B33</f>
        <v>0</v>
      </c>
      <c r="F41" s="100">
        <f>'Women Points pr FMN'!B33*3</f>
        <v>0</v>
      </c>
      <c r="G41" s="100">
        <f>'Women Inter Points pr FMN'!B33</f>
        <v>0</v>
      </c>
      <c r="H41" s="100">
        <f>'Youth Points pr FMN'!B33*3</f>
        <v>0</v>
      </c>
      <c r="I41" s="100">
        <f>'Youth Inter Points pr FMN'!B33</f>
        <v>0</v>
      </c>
      <c r="J41" s="100"/>
      <c r="K41" s="39">
        <f t="shared" si="1"/>
        <v>0</v>
      </c>
    </row>
    <row r="42" spans="1:257" ht="18" customHeight="1">
      <c r="A42" s="40" t="s">
        <v>55</v>
      </c>
      <c r="B42" s="100">
        <f>'EC - Points per FMN'!B34*3</f>
        <v>0</v>
      </c>
      <c r="C42" s="100">
        <f>'JUNIOR Points pr FMN'!B34*2</f>
        <v>0</v>
      </c>
      <c r="D42" s="100">
        <f>'Over 40 Points pr FMN'!B34*2</f>
        <v>0</v>
      </c>
      <c r="E42" s="100">
        <f>'EC Inter I Points pr FMN'!B34</f>
        <v>0</v>
      </c>
      <c r="F42" s="100">
        <f>'Women Points pr FMN'!B34*3</f>
        <v>0</v>
      </c>
      <c r="G42" s="100">
        <f>'Women Inter Points pr FMN'!B34</f>
        <v>0</v>
      </c>
      <c r="H42" s="100">
        <f>'Youth Points pr FMN'!B34*3</f>
        <v>0</v>
      </c>
      <c r="I42" s="100">
        <f>'Youth Inter Points pr FMN'!B34</f>
        <v>0</v>
      </c>
      <c r="J42" s="100"/>
      <c r="K42" s="39">
        <f t="shared" si="1"/>
        <v>0</v>
      </c>
    </row>
    <row r="43" spans="1:257" ht="18" customHeight="1">
      <c r="A43" s="40" t="s">
        <v>56</v>
      </c>
      <c r="B43" s="100">
        <f>'EC - Points per FMN'!B35*3</f>
        <v>0</v>
      </c>
      <c r="C43" s="100">
        <f>'JUNIOR Points pr FMN'!B35*2</f>
        <v>0</v>
      </c>
      <c r="D43" s="100">
        <f>'Over 40 Points pr FMN'!B35*2</f>
        <v>0</v>
      </c>
      <c r="E43" s="100">
        <f>'EC Inter I Points pr FMN'!B35</f>
        <v>0</v>
      </c>
      <c r="F43" s="100">
        <f>'Women Points pr FMN'!B35*3</f>
        <v>0</v>
      </c>
      <c r="G43" s="100">
        <f>'Women Inter Points pr FMN'!B35</f>
        <v>0</v>
      </c>
      <c r="H43" s="100">
        <f>'Youth Points pr FMN'!B35*3</f>
        <v>0</v>
      </c>
      <c r="I43" s="100">
        <f>'Youth Inter Points pr FMN'!B35</f>
        <v>0</v>
      </c>
      <c r="J43" s="100"/>
      <c r="K43" s="39">
        <f t="shared" si="1"/>
        <v>0</v>
      </c>
    </row>
    <row r="44" spans="1:257" s="1" customFormat="1" ht="18" customHeight="1">
      <c r="A44" s="40" t="s">
        <v>57</v>
      </c>
      <c r="B44" s="100">
        <f>'EC - Points per FMN'!B36*3</f>
        <v>0</v>
      </c>
      <c r="C44" s="100">
        <f>'JUNIOR Points pr FMN'!B36*2</f>
        <v>0</v>
      </c>
      <c r="D44" s="100">
        <f>'Over 40 Points pr FMN'!B36*2</f>
        <v>0</v>
      </c>
      <c r="E44" s="100">
        <f>'EC Inter I Points pr FMN'!B36</f>
        <v>0</v>
      </c>
      <c r="F44" s="100">
        <f>'Women Points pr FMN'!B36*3</f>
        <v>0</v>
      </c>
      <c r="G44" s="100">
        <f>'Women Inter Points pr FMN'!B36</f>
        <v>0</v>
      </c>
      <c r="H44" s="100">
        <f>'Youth Points pr FMN'!B36*3</f>
        <v>0</v>
      </c>
      <c r="I44" s="100">
        <f>'Youth Inter Points pr FMN'!B36</f>
        <v>0</v>
      </c>
      <c r="J44" s="100"/>
      <c r="K44" s="39">
        <f t="shared" si="1"/>
        <v>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</row>
  </sheetData>
  <sheetProtection algorithmName="SHA-512" hashValue="N8m5ACdoIS2dSFR6bytZHUObpbZg8Xg1j72GS9RWuoEvdVmY8ca5viW7VmuLVWrp/kx0OeW2IrCSNnJkh+MPuA==" saltValue="YEqRLJnUtsHPj1m5W5gh1w==" spinCount="100000" sheet="1" objects="1" scenarios="1" formatColumns="0" selectLockedCells="1" sort="0"/>
  <sortState xmlns:xlrd2="http://schemas.microsoft.com/office/spreadsheetml/2017/richdata2" ref="A4:K44">
    <sortCondition descending="1" ref="K4:K44"/>
  </sortState>
  <mergeCells count="1">
    <mergeCell ref="A1:K1"/>
  </mergeCells>
  <phoneticPr fontId="17" type="noConversion"/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3"/>
  <sheetViews>
    <sheetView showGridLines="0" workbookViewId="0">
      <selection activeCell="B12" sqref="B12"/>
    </sheetView>
  </sheetViews>
  <sheetFormatPr defaultColWidth="6.61328125" defaultRowHeight="13.5" customHeight="1"/>
  <cols>
    <col min="1" max="256" width="6.61328125" style="4" customWidth="1"/>
  </cols>
  <sheetData>
    <row r="1" spans="1:256" ht="28.05" customHeight="1">
      <c r="A1" s="112" t="s">
        <v>58</v>
      </c>
      <c r="B1" s="113"/>
    </row>
    <row r="2" spans="1:256" ht="13.95" customHeight="1">
      <c r="A2" s="5" t="s">
        <v>27</v>
      </c>
      <c r="B2" s="5" t="s">
        <v>13</v>
      </c>
    </row>
    <row r="3" spans="1:256" ht="13.95" customHeight="1">
      <c r="A3" s="13" t="s">
        <v>9</v>
      </c>
      <c r="B3" s="13">
        <f>SUMIF('EC - European Championship'!C4:C90,"ACCR",'EC - European Championship'!J4:J90)</f>
        <v>90</v>
      </c>
    </row>
    <row r="4" spans="1:256" ht="13.95" customHeight="1">
      <c r="A4" s="13" t="s">
        <v>14</v>
      </c>
      <c r="B4" s="13">
        <f>SUMIF('EC - European Championship'!C4:C90,"ACU",'EC - European Championship'!J4:J90)</f>
        <v>240</v>
      </c>
    </row>
    <row r="5" spans="1:256" ht="13.95" customHeight="1">
      <c r="A5" s="13" t="s">
        <v>37</v>
      </c>
      <c r="B5" s="13">
        <f>SUMIF('EC - European Championship'!C4:C90,"AMA",'EC - European Championship'!J4:J90)</f>
        <v>0</v>
      </c>
    </row>
    <row r="6" spans="1:256" ht="13.95" customHeight="1">
      <c r="A6" s="13" t="s">
        <v>38</v>
      </c>
      <c r="B6" s="13">
        <f>SUMIF('EC - European Championship'!C4:C90,"AMOTOE",'EC - European Championship'!J4:J90)</f>
        <v>0</v>
      </c>
    </row>
    <row r="7" spans="1:256" s="1" customFormat="1" ht="13.95" customHeight="1">
      <c r="A7" s="13" t="s">
        <v>60</v>
      </c>
      <c r="B7" s="13">
        <f>SUMIF('EC - European Championship'!C4:C90,"AMZS",'EC - European Championship'!J4:J90)</f>
        <v>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ht="13.95" customHeight="1">
      <c r="A8" s="13" t="s">
        <v>39</v>
      </c>
      <c r="B8" s="13">
        <f>SUMIF('EC - European Championship'!C4:C90,"BFMS",'EC - European Championship'!J4:J90)</f>
        <v>0</v>
      </c>
    </row>
    <row r="9" spans="1:256" ht="13.95" customHeight="1">
      <c r="A9" s="13" t="s">
        <v>40</v>
      </c>
      <c r="B9" s="13">
        <f>SUMIF('EC - European Championship'!C4:C90,"BIHAMK",'EC - European Championship'!J4:J90)</f>
        <v>0</v>
      </c>
    </row>
    <row r="10" spans="1:256" ht="13.95" customHeight="1">
      <c r="A10" s="13" t="s">
        <v>41</v>
      </c>
      <c r="B10" s="13">
        <f>SUMIF('EC - European Championship'!C4:C90,"BMF",'EC - European Championship'!J4:J90)</f>
        <v>0</v>
      </c>
    </row>
    <row r="11" spans="1:256" ht="13.95" customHeight="1">
      <c r="A11" s="13" t="s">
        <v>42</v>
      </c>
      <c r="B11" s="13">
        <f>SUMIF('EC - European Championship'!C4:C90,"CMA",'EC - European Championship'!J4:J90)</f>
        <v>0</v>
      </c>
    </row>
    <row r="12" spans="1:256" ht="13.5" customHeight="1">
      <c r="A12" s="13" t="s">
        <v>25</v>
      </c>
      <c r="B12" s="13">
        <f>SUMIF('EC - European Championship'!C4:C90,"CTMSA",'EC - European Championship'!J4:J90)</f>
        <v>0</v>
      </c>
    </row>
    <row r="13" spans="1:256" ht="13.5" customHeight="1">
      <c r="A13" s="13" t="s">
        <v>43</v>
      </c>
      <c r="B13" s="13">
        <f>SUMIF('EC - European Championship'!C4:C90,"CYMF",'EC - European Championship'!J4:J90)</f>
        <v>0</v>
      </c>
    </row>
    <row r="14" spans="1:256" ht="13.5" customHeight="1">
      <c r="A14" s="13" t="s">
        <v>11</v>
      </c>
      <c r="B14" s="13">
        <f>SUMIF('EC - European Championship'!C4:C90,"DMSB",'EC - European Championship'!J4:J90)</f>
        <v>347</v>
      </c>
    </row>
    <row r="15" spans="1:256" ht="13.5" customHeight="1">
      <c r="A15" s="13" t="s">
        <v>23</v>
      </c>
      <c r="B15" s="13">
        <f>SUMIF('EC - European Championship'!C4:C90,"DMU",'EC - European Championship'!J4:J90)</f>
        <v>0</v>
      </c>
    </row>
    <row r="16" spans="1:256" ht="13.5" customHeight="1">
      <c r="A16" s="13" t="s">
        <v>22</v>
      </c>
      <c r="B16" s="13">
        <f>SUMIF('EC - European Championship'!C4:C90,"EMF",'EC - European Championship'!J4:J90)</f>
        <v>0</v>
      </c>
    </row>
    <row r="17" spans="1:2" ht="13.5" customHeight="1">
      <c r="A17" s="13" t="s">
        <v>16</v>
      </c>
      <c r="B17" s="13">
        <f>SUMIF('EC - European Championship'!C4:C90,"FFM",'EC - European Championship'!J4:J90)</f>
        <v>30</v>
      </c>
    </row>
    <row r="18" spans="1:2" ht="13.5" customHeight="1">
      <c r="A18" s="13" t="s">
        <v>44</v>
      </c>
      <c r="B18" s="13">
        <f>SUMIF('EC - European Championship'!C4:C90,"FMA",'EC - European Championship'!J4:J90)</f>
        <v>0</v>
      </c>
    </row>
    <row r="19" spans="1:2" ht="13.5" customHeight="1">
      <c r="A19" s="13" t="s">
        <v>20</v>
      </c>
      <c r="B19" s="13">
        <f>SUMIF('EC - European Championship'!C4:C90,"FMB",'EC - European Championship'!J4:J90)</f>
        <v>90</v>
      </c>
    </row>
    <row r="20" spans="1:2" ht="13.5" customHeight="1">
      <c r="A20" s="13" t="s">
        <v>7</v>
      </c>
      <c r="B20" s="13">
        <f>SUMIF('EC - European Championship'!C4:C90,"FMI",'EC - European Championship'!J4:J90)</f>
        <v>0</v>
      </c>
    </row>
    <row r="21" spans="1:2" ht="13.5" customHeight="1">
      <c r="A21" s="13" t="s">
        <v>45</v>
      </c>
      <c r="B21" s="13">
        <f>SUMIF('EC - European Championship'!C4:C90,"FMP",'EC - European Championship'!J4:J90)</f>
        <v>0</v>
      </c>
    </row>
    <row r="22" spans="1:2" ht="13.5" customHeight="1">
      <c r="A22" s="13" t="s">
        <v>46</v>
      </c>
      <c r="B22" s="13">
        <f>SUMIF('EC - European Championship'!C4:C90,"FMRM",'EC - European Championship'!J4:J90)</f>
        <v>0</v>
      </c>
    </row>
    <row r="23" spans="1:2" ht="13.5" customHeight="1">
      <c r="A23" s="13" t="s">
        <v>47</v>
      </c>
      <c r="B23" s="13">
        <f>SUMIF('EC - European Championship'!C4:C90,"FMS",'EC - European Championship'!J4:J90)</f>
        <v>155</v>
      </c>
    </row>
    <row r="24" spans="1:2" ht="13.5" customHeight="1">
      <c r="A24" s="13" t="s">
        <v>48</v>
      </c>
      <c r="B24" s="13">
        <f>SUMIF('EC - European Championship'!C4:C90,"FMU",'EC - European Championship'!J4:J90)</f>
        <v>0</v>
      </c>
    </row>
    <row r="25" spans="1:2" ht="13.5" customHeight="1">
      <c r="A25" s="13" t="s">
        <v>49</v>
      </c>
      <c r="B25" s="13">
        <f>SUMIF('EC - European Championship'!C4:C90,"FRM",'EC - European Championship'!J4:J90)</f>
        <v>0</v>
      </c>
    </row>
    <row r="26" spans="1:2" ht="13.5" customHeight="1">
      <c r="A26" s="13" t="s">
        <v>17</v>
      </c>
      <c r="B26" s="13">
        <f>SUMIF('EC - European Championship'!C4:C90,"KNMV",'EC - European Championship'!J4:J90)</f>
        <v>0</v>
      </c>
    </row>
    <row r="27" spans="1:2" ht="13.5" customHeight="1">
      <c r="A27" s="13" t="s">
        <v>61</v>
      </c>
      <c r="B27" s="13">
        <f>SUMIF('EC - European Championship'!C4:C90,"LaMSF",'EC - European Championship'!J4:J90)</f>
        <v>0</v>
      </c>
    </row>
    <row r="28" spans="1:2" ht="13.5" customHeight="1">
      <c r="A28" s="13" t="s">
        <v>50</v>
      </c>
      <c r="B28" s="13">
        <f>SUMIF('EC - European Championship'!C4:C90,"LMSF",'EC - European Championship'!J4:J90)</f>
        <v>0</v>
      </c>
    </row>
    <row r="29" spans="1:2" ht="13.5" customHeight="1">
      <c r="A29" s="13" t="s">
        <v>24</v>
      </c>
      <c r="B29" s="13">
        <f>SUMIF('EC - European Championship'!C4:C90,"MA",'EC - European Championship'!J4:J90)</f>
        <v>0</v>
      </c>
    </row>
    <row r="30" spans="1:2" ht="13.5" customHeight="1">
      <c r="A30" s="13" t="s">
        <v>51</v>
      </c>
      <c r="B30" s="13">
        <f>SUMIF('EC - European Championship'!C4:C90,"MAMS",'EC - European Championship'!J4:J90)</f>
        <v>0</v>
      </c>
    </row>
    <row r="31" spans="1:2" ht="13.5" customHeight="1">
      <c r="A31" s="13" t="s">
        <v>52</v>
      </c>
      <c r="B31" s="13">
        <f>SUMIF('EC - European Championship'!C4:C90,"MCM",'EC - European Championship'!J4:J90)</f>
        <v>0</v>
      </c>
    </row>
    <row r="32" spans="1:2" ht="13.5" customHeight="1">
      <c r="A32" s="13" t="s">
        <v>53</v>
      </c>
      <c r="B32" s="13">
        <f>SUMIF('EC - European Championship'!C4:C90,"MCUI",'EC - European Championship'!J4:J90)</f>
        <v>0</v>
      </c>
    </row>
    <row r="33" spans="1:2" ht="13.5" customHeight="1">
      <c r="A33" s="13" t="s">
        <v>54</v>
      </c>
      <c r="B33" s="13">
        <f>SUMIF('EC - European Championship'!C4:C90,"MFJ",'EC - European Championship'!J4:J90)</f>
        <v>0</v>
      </c>
    </row>
    <row r="34" spans="1:2" ht="13.5" customHeight="1">
      <c r="A34" s="13" t="s">
        <v>55</v>
      </c>
      <c r="B34" s="13">
        <f>SUMIF('EC - European Championship'!C4:C90,"MFR",'EC - European Championship'!J4:J90)</f>
        <v>0</v>
      </c>
    </row>
    <row r="35" spans="1:2" ht="13.5" customHeight="1">
      <c r="A35" s="13" t="s">
        <v>56</v>
      </c>
      <c r="B35" s="13">
        <f>SUMIF('EC - European Championship'!C4:C90,"MSI",'EC - European Championship'!J4:J90)</f>
        <v>0</v>
      </c>
    </row>
    <row r="36" spans="1:2" ht="13.5" customHeight="1">
      <c r="A36" s="13" t="s">
        <v>57</v>
      </c>
      <c r="B36" s="13">
        <f>SUMIF('EC - European Championship'!C4:C90,"MUL",'EC - European Championship'!J4:J90)</f>
        <v>0</v>
      </c>
    </row>
    <row r="37" spans="1:2" ht="13.5" customHeight="1">
      <c r="A37" s="13" t="s">
        <v>10</v>
      </c>
      <c r="B37" s="13">
        <f>SUMIF('EC - European Championship'!C4:C90,"NMF",'EC - European Championship'!J4:J90)</f>
        <v>205</v>
      </c>
    </row>
    <row r="38" spans="1:2" ht="13.5" customHeight="1">
      <c r="A38" s="13" t="s">
        <v>62</v>
      </c>
      <c r="B38" s="13">
        <f>SUMIF('EC - European Championship'!C4:C90,"AMF",'EC - European Championship'!J4:J90)</f>
        <v>255</v>
      </c>
    </row>
    <row r="39" spans="1:2" ht="13.5" customHeight="1">
      <c r="A39" s="13" t="s">
        <v>12</v>
      </c>
      <c r="B39" s="13">
        <f>SUMIF('EC - European Championship'!C4:C90,"PZM",'EC - European Championship'!J4:J90)</f>
        <v>0</v>
      </c>
    </row>
    <row r="40" spans="1:2" ht="13.5" customHeight="1">
      <c r="A40" s="13" t="s">
        <v>8</v>
      </c>
      <c r="B40" s="13">
        <f>SUMIF('EC - European Championship'!C4:C90,"RFME",'EC - European Championship'!J4:J90)</f>
        <v>240</v>
      </c>
    </row>
    <row r="41" spans="1:2" ht="13.5" customHeight="1">
      <c r="A41" s="13" t="s">
        <v>19</v>
      </c>
      <c r="B41" s="13">
        <f>SUMIF('EC - European Championship'!C4:C90,"SMF",'EC - European Championship'!J4:J90)</f>
        <v>0</v>
      </c>
    </row>
    <row r="42" spans="1:2" ht="13.5" customHeight="1">
      <c r="A42" s="13" t="s">
        <v>15</v>
      </c>
      <c r="B42" s="13">
        <f>SUMIF('EC - European Championship'!C4:C90,"SML",'EC - European Championship'!J4:J90)</f>
        <v>0</v>
      </c>
    </row>
    <row r="43" spans="1:2" ht="13.5" customHeight="1">
      <c r="A43" s="13" t="s">
        <v>6</v>
      </c>
      <c r="B43" s="13">
        <f>SUMIF('EC - European Championship'!C4:C90,"SVEMO",'EC - European Championship'!J4:J90)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51"/>
  <sheetViews>
    <sheetView showGridLines="0" topLeftCell="A3" zoomScale="125" zoomScaleNormal="125" workbookViewId="0">
      <selection activeCell="H9" sqref="H9"/>
    </sheetView>
  </sheetViews>
  <sheetFormatPr defaultColWidth="4.15234375" defaultRowHeight="13.5" customHeight="1"/>
  <cols>
    <col min="1" max="1" width="4.15234375" style="13" customWidth="1"/>
    <col min="2" max="2" width="23.69140625" style="13" customWidth="1"/>
    <col min="3" max="3" width="6.61328125" style="13" customWidth="1"/>
    <col min="4" max="4" width="7.61328125" style="13" customWidth="1"/>
    <col min="5" max="5" width="10" style="13" customWidth="1"/>
    <col min="6" max="6" width="9.69140625" style="13" customWidth="1"/>
    <col min="7" max="9" width="9.3828125" style="13" customWidth="1"/>
    <col min="10" max="11" width="5.23046875" style="13" customWidth="1"/>
    <col min="12" max="12" width="4.15234375" style="13" customWidth="1"/>
    <col min="13" max="13" width="4.84375" style="13" customWidth="1"/>
    <col min="14" max="14" width="5" style="13" customWidth="1"/>
    <col min="15" max="258" width="4.15234375" style="13" customWidth="1"/>
    <col min="259" max="16384" width="4.15234375" style="1"/>
  </cols>
  <sheetData>
    <row r="1" spans="1:14" ht="35.549999999999997" customHeight="1">
      <c r="A1" s="114" t="s">
        <v>67</v>
      </c>
      <c r="B1" s="115"/>
      <c r="C1" s="115"/>
      <c r="D1" s="115"/>
      <c r="E1" s="115"/>
      <c r="F1" s="115"/>
      <c r="G1" s="115"/>
      <c r="H1" s="116"/>
      <c r="I1" s="117"/>
      <c r="J1" s="115"/>
      <c r="K1" s="87"/>
    </row>
    <row r="2" spans="1:14" ht="24.75" customHeight="1">
      <c r="A2" s="118" t="s">
        <v>1</v>
      </c>
      <c r="B2" s="118" t="s">
        <v>2</v>
      </c>
      <c r="C2" s="118" t="s">
        <v>3</v>
      </c>
      <c r="D2" s="118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35"/>
      <c r="K2" s="88"/>
    </row>
    <row r="3" spans="1:14" ht="33" customHeight="1">
      <c r="A3" s="119"/>
      <c r="B3" s="119"/>
      <c r="C3" s="119"/>
      <c r="D3" s="119"/>
      <c r="E3" s="102" t="s">
        <v>63</v>
      </c>
      <c r="F3" s="102" t="s">
        <v>64</v>
      </c>
      <c r="G3" s="102" t="s">
        <v>65</v>
      </c>
      <c r="H3" s="102" t="s">
        <v>205</v>
      </c>
      <c r="I3" s="102" t="s">
        <v>66</v>
      </c>
      <c r="J3" s="35" t="s">
        <v>5</v>
      </c>
      <c r="K3" s="88"/>
    </row>
    <row r="4" spans="1:14" ht="16.95" customHeight="1">
      <c r="A4" s="33">
        <v>1</v>
      </c>
      <c r="B4" s="74" t="s">
        <v>94</v>
      </c>
      <c r="C4" s="89" t="s">
        <v>12</v>
      </c>
      <c r="D4" s="89" t="s">
        <v>84</v>
      </c>
      <c r="E4" s="63">
        <v>100</v>
      </c>
      <c r="F4" s="29">
        <v>100</v>
      </c>
      <c r="G4" s="42">
        <v>85</v>
      </c>
      <c r="H4" s="63"/>
      <c r="I4" s="29"/>
      <c r="J4" s="30">
        <f>SUM(E4:I4)</f>
        <v>285</v>
      </c>
      <c r="K4" s="26"/>
    </row>
    <row r="5" spans="1:14" ht="16.95" customHeight="1">
      <c r="A5" s="33">
        <v>2</v>
      </c>
      <c r="B5" s="74" t="s">
        <v>110</v>
      </c>
      <c r="C5" s="89" t="s">
        <v>23</v>
      </c>
      <c r="D5" s="89" t="s">
        <v>79</v>
      </c>
      <c r="E5" s="63">
        <v>85</v>
      </c>
      <c r="F5" s="29">
        <v>55</v>
      </c>
      <c r="G5" s="42">
        <v>45</v>
      </c>
      <c r="H5" s="63"/>
      <c r="I5" s="29"/>
      <c r="J5" s="30">
        <f>SUM(E5:I5)</f>
        <v>185</v>
      </c>
      <c r="K5" s="26"/>
    </row>
    <row r="6" spans="1:14" ht="16.95" customHeight="1">
      <c r="A6" s="33">
        <v>3</v>
      </c>
      <c r="B6" s="74" t="s">
        <v>106</v>
      </c>
      <c r="C6" s="89" t="s">
        <v>11</v>
      </c>
      <c r="D6" s="89" t="s">
        <v>79</v>
      </c>
      <c r="E6" s="63">
        <v>55</v>
      </c>
      <c r="F6" s="29">
        <v>70</v>
      </c>
      <c r="G6" s="42">
        <v>55</v>
      </c>
      <c r="H6" s="63"/>
      <c r="I6" s="29"/>
      <c r="J6" s="30">
        <f>SUM(E6:I6)</f>
        <v>180</v>
      </c>
      <c r="K6" s="26"/>
      <c r="N6" s="14"/>
    </row>
    <row r="7" spans="1:14" ht="16.95" customHeight="1">
      <c r="A7" s="33">
        <v>4</v>
      </c>
      <c r="B7" s="74" t="s">
        <v>167</v>
      </c>
      <c r="C7" s="89" t="s">
        <v>10</v>
      </c>
      <c r="D7" s="89" t="s">
        <v>79</v>
      </c>
      <c r="E7" s="63">
        <v>60</v>
      </c>
      <c r="F7" s="29">
        <v>45</v>
      </c>
      <c r="G7" s="42">
        <v>70</v>
      </c>
      <c r="H7" s="63"/>
      <c r="I7" s="29"/>
      <c r="J7" s="30">
        <f>SUM(E7:I7)</f>
        <v>175</v>
      </c>
      <c r="K7" s="26"/>
    </row>
    <row r="8" spans="1:14" ht="16.95" customHeight="1">
      <c r="A8" s="33">
        <v>5</v>
      </c>
      <c r="B8" s="75" t="s">
        <v>105</v>
      </c>
      <c r="C8" s="89" t="s">
        <v>10</v>
      </c>
      <c r="D8" s="89" t="s">
        <v>79</v>
      </c>
      <c r="E8" s="63">
        <v>70</v>
      </c>
      <c r="F8" s="29">
        <v>60</v>
      </c>
      <c r="G8" s="42">
        <v>40</v>
      </c>
      <c r="H8" s="63"/>
      <c r="I8" s="29"/>
      <c r="J8" s="30">
        <f>SUM(E8:I8)</f>
        <v>170</v>
      </c>
      <c r="K8" s="26"/>
    </row>
    <row r="9" spans="1:14" ht="16.95" customHeight="1">
      <c r="A9" s="33">
        <v>6</v>
      </c>
      <c r="B9" s="74" t="s">
        <v>113</v>
      </c>
      <c r="C9" s="89" t="s">
        <v>10</v>
      </c>
      <c r="D9" s="89" t="s">
        <v>114</v>
      </c>
      <c r="E9" s="63">
        <v>50</v>
      </c>
      <c r="F9" s="29">
        <v>35</v>
      </c>
      <c r="G9" s="42">
        <v>60</v>
      </c>
      <c r="H9" s="63"/>
      <c r="I9" s="29"/>
      <c r="J9" s="30">
        <f>SUM(E9:I9)</f>
        <v>145</v>
      </c>
      <c r="K9" s="26"/>
    </row>
    <row r="10" spans="1:14" ht="16.95" customHeight="1">
      <c r="A10" s="33">
        <v>7</v>
      </c>
      <c r="B10" s="75" t="s">
        <v>97</v>
      </c>
      <c r="C10" s="89" t="s">
        <v>6</v>
      </c>
      <c r="D10" s="89" t="s">
        <v>79</v>
      </c>
      <c r="E10" s="63">
        <v>45</v>
      </c>
      <c r="F10" s="29"/>
      <c r="G10" s="42">
        <v>100</v>
      </c>
      <c r="H10" s="63"/>
      <c r="I10" s="29"/>
      <c r="J10" s="30">
        <f>SUM(E10:I10)</f>
        <v>145</v>
      </c>
      <c r="K10" s="26"/>
    </row>
    <row r="11" spans="1:14" ht="16.95" customHeight="1">
      <c r="A11" s="33">
        <v>8</v>
      </c>
      <c r="B11" s="74" t="s">
        <v>92</v>
      </c>
      <c r="C11" s="89" t="s">
        <v>14</v>
      </c>
      <c r="D11" s="89" t="s">
        <v>82</v>
      </c>
      <c r="E11" s="63">
        <v>40</v>
      </c>
      <c r="F11" s="29">
        <v>25</v>
      </c>
      <c r="G11" s="42">
        <v>50</v>
      </c>
      <c r="H11" s="63"/>
      <c r="I11" s="29"/>
      <c r="J11" s="30">
        <f>SUM(E11:I11)</f>
        <v>115</v>
      </c>
      <c r="K11" s="26"/>
      <c r="N11" s="14"/>
    </row>
    <row r="12" spans="1:14" ht="16.95" customHeight="1">
      <c r="A12" s="33">
        <v>9</v>
      </c>
      <c r="B12" s="74" t="s">
        <v>96</v>
      </c>
      <c r="C12" s="89" t="s">
        <v>12</v>
      </c>
      <c r="D12" s="89" t="s">
        <v>84</v>
      </c>
      <c r="E12" s="63">
        <v>16</v>
      </c>
      <c r="F12" s="29">
        <v>85</v>
      </c>
      <c r="G12" s="42"/>
      <c r="H12" s="63"/>
      <c r="I12" s="29"/>
      <c r="J12" s="30">
        <f>SUM(E12:I12)</f>
        <v>101</v>
      </c>
      <c r="K12" s="26"/>
    </row>
    <row r="13" spans="1:14" ht="16.95" customHeight="1">
      <c r="A13" s="33">
        <v>10</v>
      </c>
      <c r="B13" s="74" t="s">
        <v>112</v>
      </c>
      <c r="C13" s="89" t="s">
        <v>9</v>
      </c>
      <c r="D13" s="89" t="s">
        <v>102</v>
      </c>
      <c r="E13" s="63">
        <v>20</v>
      </c>
      <c r="F13" s="29">
        <v>50</v>
      </c>
      <c r="G13" s="42">
        <v>25</v>
      </c>
      <c r="H13" s="63"/>
      <c r="I13" s="29"/>
      <c r="J13" s="30">
        <f>SUM(E13:I13)</f>
        <v>95</v>
      </c>
      <c r="K13" s="26"/>
    </row>
    <row r="14" spans="1:14" ht="16.95" customHeight="1">
      <c r="A14" s="33">
        <v>11</v>
      </c>
      <c r="B14" s="74" t="s">
        <v>101</v>
      </c>
      <c r="C14" s="89" t="s">
        <v>15</v>
      </c>
      <c r="D14" s="89" t="s">
        <v>102</v>
      </c>
      <c r="E14" s="63">
        <v>25</v>
      </c>
      <c r="F14" s="29">
        <v>30</v>
      </c>
      <c r="G14" s="29">
        <v>30</v>
      </c>
      <c r="H14" s="63"/>
      <c r="I14" s="42"/>
      <c r="J14" s="30">
        <f>SUM(E14:I14)</f>
        <v>85</v>
      </c>
      <c r="K14" s="26"/>
    </row>
    <row r="15" spans="1:14" ht="16.95" customHeight="1">
      <c r="A15" s="33">
        <v>12</v>
      </c>
      <c r="B15" s="74" t="s">
        <v>107</v>
      </c>
      <c r="C15" s="89" t="s">
        <v>11</v>
      </c>
      <c r="D15" s="89" t="s">
        <v>87</v>
      </c>
      <c r="E15" s="63">
        <v>35</v>
      </c>
      <c r="F15" s="29">
        <v>40</v>
      </c>
      <c r="G15" s="29"/>
      <c r="H15" s="63"/>
      <c r="I15" s="42"/>
      <c r="J15" s="30">
        <f>SUM(E15:I15)</f>
        <v>75</v>
      </c>
      <c r="K15" s="26"/>
    </row>
    <row r="16" spans="1:14" ht="16.95" customHeight="1">
      <c r="A16" s="33">
        <v>13</v>
      </c>
      <c r="B16" s="74" t="s">
        <v>168</v>
      </c>
      <c r="C16" s="89" t="s">
        <v>51</v>
      </c>
      <c r="D16" s="89" t="s">
        <v>99</v>
      </c>
      <c r="E16" s="63">
        <v>30</v>
      </c>
      <c r="F16" s="29">
        <v>22</v>
      </c>
      <c r="G16" s="29">
        <v>14</v>
      </c>
      <c r="H16" s="63"/>
      <c r="I16" s="42"/>
      <c r="J16" s="30">
        <f>SUM(E16:I16)</f>
        <v>66</v>
      </c>
      <c r="K16" s="26"/>
    </row>
    <row r="17" spans="1:11" ht="16.95" customHeight="1">
      <c r="A17" s="33">
        <v>14</v>
      </c>
      <c r="B17" s="74" t="s">
        <v>103</v>
      </c>
      <c r="C17" s="89" t="s">
        <v>15</v>
      </c>
      <c r="D17" s="89" t="s">
        <v>102</v>
      </c>
      <c r="E17" s="63">
        <v>22</v>
      </c>
      <c r="F17" s="29">
        <v>20</v>
      </c>
      <c r="G17" s="29">
        <v>16</v>
      </c>
      <c r="H17" s="63"/>
      <c r="I17" s="42"/>
      <c r="J17" s="30">
        <f>SUM(E17:I17)</f>
        <v>58</v>
      </c>
      <c r="K17" s="26"/>
    </row>
    <row r="18" spans="1:11" ht="16.95" customHeight="1">
      <c r="A18" s="33">
        <v>15</v>
      </c>
      <c r="B18" s="74" t="s">
        <v>95</v>
      </c>
      <c r="C18" s="89" t="s">
        <v>15</v>
      </c>
      <c r="D18" s="89" t="s">
        <v>87</v>
      </c>
      <c r="E18" s="63">
        <v>18</v>
      </c>
      <c r="F18" s="29">
        <v>18</v>
      </c>
      <c r="G18" s="29">
        <v>20</v>
      </c>
      <c r="H18" s="63"/>
      <c r="I18" s="42"/>
      <c r="J18" s="30">
        <f>SUM(E18:I18)</f>
        <v>56</v>
      </c>
      <c r="K18" s="26"/>
    </row>
    <row r="19" spans="1:11" ht="16.95" customHeight="1">
      <c r="A19" s="33">
        <v>16</v>
      </c>
      <c r="B19" s="75" t="s">
        <v>111</v>
      </c>
      <c r="C19" s="89" t="s">
        <v>10</v>
      </c>
      <c r="D19" s="89" t="s">
        <v>79</v>
      </c>
      <c r="E19" s="63">
        <v>12</v>
      </c>
      <c r="F19" s="29">
        <v>12</v>
      </c>
      <c r="G19" s="29">
        <v>22</v>
      </c>
      <c r="H19" s="63"/>
      <c r="I19" s="42"/>
      <c r="J19" s="30">
        <f>SUM(E19:I19)</f>
        <v>46</v>
      </c>
      <c r="K19" s="26"/>
    </row>
    <row r="20" spans="1:11" ht="16.95" customHeight="1">
      <c r="A20" s="33">
        <v>17</v>
      </c>
      <c r="B20" s="74" t="s">
        <v>93</v>
      </c>
      <c r="C20" s="89" t="s">
        <v>14</v>
      </c>
      <c r="D20" s="89" t="s">
        <v>84</v>
      </c>
      <c r="E20" s="63">
        <v>14</v>
      </c>
      <c r="F20" s="29">
        <v>16</v>
      </c>
      <c r="G20" s="29">
        <v>12</v>
      </c>
      <c r="H20" s="63"/>
      <c r="I20" s="42"/>
      <c r="J20" s="30">
        <f>SUM(E20:I20)</f>
        <v>42</v>
      </c>
      <c r="K20" s="26"/>
    </row>
    <row r="21" spans="1:11" ht="16.95" customHeight="1">
      <c r="A21" s="33">
        <v>18</v>
      </c>
      <c r="B21" s="74" t="s">
        <v>201</v>
      </c>
      <c r="C21" s="89" t="s">
        <v>11</v>
      </c>
      <c r="D21" s="89" t="s">
        <v>79</v>
      </c>
      <c r="E21" s="63"/>
      <c r="F21" s="29"/>
      <c r="G21" s="29">
        <v>35</v>
      </c>
      <c r="H21" s="63"/>
      <c r="I21" s="42"/>
      <c r="J21" s="30">
        <f>SUM(E21:I21)</f>
        <v>35</v>
      </c>
      <c r="K21" s="26"/>
    </row>
    <row r="22" spans="1:11" ht="16.95" customHeight="1">
      <c r="A22" s="33">
        <v>19</v>
      </c>
      <c r="B22" s="75" t="s">
        <v>100</v>
      </c>
      <c r="C22" s="89" t="s">
        <v>12</v>
      </c>
      <c r="D22" s="89" t="s">
        <v>84</v>
      </c>
      <c r="E22" s="63">
        <v>10</v>
      </c>
      <c r="F22" s="29">
        <v>9</v>
      </c>
      <c r="G22" s="29"/>
      <c r="H22" s="63"/>
      <c r="I22" s="42"/>
      <c r="J22" s="30">
        <f>SUM(E22:I22)</f>
        <v>19</v>
      </c>
      <c r="K22" s="26"/>
    </row>
    <row r="23" spans="1:11" ht="16.95" customHeight="1">
      <c r="A23" s="33">
        <v>20</v>
      </c>
      <c r="B23" s="75" t="s">
        <v>98</v>
      </c>
      <c r="C23" s="89" t="s">
        <v>44</v>
      </c>
      <c r="D23" s="89" t="s">
        <v>99</v>
      </c>
      <c r="E23" s="63">
        <v>9</v>
      </c>
      <c r="F23" s="29">
        <v>10</v>
      </c>
      <c r="G23" s="29"/>
      <c r="H23" s="63"/>
      <c r="I23" s="42"/>
      <c r="J23" s="30">
        <f>SUM(E23:I23)</f>
        <v>19</v>
      </c>
      <c r="K23" s="26"/>
    </row>
    <row r="24" spans="1:11" ht="16.95" customHeight="1">
      <c r="A24" s="33">
        <v>21</v>
      </c>
      <c r="B24" s="75" t="s">
        <v>200</v>
      </c>
      <c r="C24" s="89" t="s">
        <v>6</v>
      </c>
      <c r="D24" s="89" t="s">
        <v>82</v>
      </c>
      <c r="E24" s="63"/>
      <c r="F24" s="29"/>
      <c r="G24" s="29">
        <v>18</v>
      </c>
      <c r="H24" s="63"/>
      <c r="I24" s="42"/>
      <c r="J24" s="30">
        <f>SUM(E24:I24)</f>
        <v>18</v>
      </c>
      <c r="K24" s="26"/>
    </row>
    <row r="25" spans="1:11" ht="16.95" customHeight="1">
      <c r="A25" s="33">
        <v>22</v>
      </c>
      <c r="B25" s="74" t="s">
        <v>109</v>
      </c>
      <c r="C25" s="89" t="s">
        <v>10</v>
      </c>
      <c r="D25" s="89" t="s">
        <v>84</v>
      </c>
      <c r="E25" s="63">
        <v>7</v>
      </c>
      <c r="F25" s="29">
        <v>8</v>
      </c>
      <c r="G25" s="29"/>
      <c r="H25" s="63"/>
      <c r="I25" s="42"/>
      <c r="J25" s="30">
        <f>SUM(E25:I25)</f>
        <v>15</v>
      </c>
      <c r="K25" s="26"/>
    </row>
    <row r="26" spans="1:11" ht="16.95" customHeight="1">
      <c r="A26" s="33">
        <v>23</v>
      </c>
      <c r="B26" s="74" t="s">
        <v>187</v>
      </c>
      <c r="C26" s="89" t="s">
        <v>16</v>
      </c>
      <c r="D26" s="89" t="s">
        <v>79</v>
      </c>
      <c r="E26" s="63"/>
      <c r="F26" s="29">
        <v>14</v>
      </c>
      <c r="G26" s="29"/>
      <c r="H26" s="63"/>
      <c r="I26" s="42"/>
      <c r="J26" s="30">
        <f>SUM(E26:I26)</f>
        <v>14</v>
      </c>
      <c r="K26" s="26"/>
    </row>
    <row r="27" spans="1:11" ht="16.95" customHeight="1">
      <c r="A27" s="33">
        <v>24</v>
      </c>
      <c r="B27" s="75" t="s">
        <v>202</v>
      </c>
      <c r="C27" s="89" t="s">
        <v>6</v>
      </c>
      <c r="D27" s="89" t="s">
        <v>87</v>
      </c>
      <c r="E27" s="63"/>
      <c r="F27" s="29"/>
      <c r="G27" s="29">
        <v>10</v>
      </c>
      <c r="H27" s="63"/>
      <c r="I27" s="42"/>
      <c r="J27" s="30">
        <f>SUM(E27:I27)</f>
        <v>10</v>
      </c>
      <c r="K27" s="26"/>
    </row>
    <row r="28" spans="1:11" ht="16.95" customHeight="1">
      <c r="A28" s="33">
        <v>25</v>
      </c>
      <c r="B28" s="74" t="s">
        <v>203</v>
      </c>
      <c r="C28" s="89" t="s">
        <v>14</v>
      </c>
      <c r="D28" s="89" t="s">
        <v>79</v>
      </c>
      <c r="E28" s="63"/>
      <c r="F28" s="29"/>
      <c r="G28" s="29">
        <v>9</v>
      </c>
      <c r="H28" s="63"/>
      <c r="I28" s="42"/>
      <c r="J28" s="30">
        <f>SUM(E28:I28)</f>
        <v>9</v>
      </c>
      <c r="K28" s="26"/>
    </row>
    <row r="29" spans="1:11" ht="16.95" customHeight="1">
      <c r="A29" s="33">
        <v>26</v>
      </c>
      <c r="B29" s="75" t="s">
        <v>104</v>
      </c>
      <c r="C29" s="89" t="s">
        <v>10</v>
      </c>
      <c r="D29" s="89" t="s">
        <v>102</v>
      </c>
      <c r="E29" s="63">
        <v>8</v>
      </c>
      <c r="F29" s="29"/>
      <c r="G29" s="29"/>
      <c r="H29" s="63"/>
      <c r="I29" s="42"/>
      <c r="J29" s="30">
        <f>SUM(E29:I29)</f>
        <v>8</v>
      </c>
      <c r="K29" s="26"/>
    </row>
    <row r="30" spans="1:11" ht="16.95" customHeight="1">
      <c r="A30" s="33">
        <v>27</v>
      </c>
      <c r="B30" s="75" t="s">
        <v>204</v>
      </c>
      <c r="C30" s="89"/>
      <c r="D30" s="89"/>
      <c r="E30" s="63"/>
      <c r="F30" s="29"/>
      <c r="G30" s="29"/>
      <c r="H30" s="63"/>
      <c r="I30" s="42"/>
      <c r="J30" s="30">
        <f t="shared" ref="J27:J44" si="0">SUM(E30:I30)</f>
        <v>0</v>
      </c>
      <c r="K30" s="26"/>
    </row>
    <row r="31" spans="1:11" ht="16.95" customHeight="1">
      <c r="A31" s="33">
        <v>28</v>
      </c>
      <c r="B31" s="75"/>
      <c r="C31" s="89"/>
      <c r="D31" s="89"/>
      <c r="E31" s="63"/>
      <c r="F31" s="29"/>
      <c r="G31" s="29"/>
      <c r="H31" s="63"/>
      <c r="I31" s="42"/>
      <c r="J31" s="30">
        <f t="shared" si="0"/>
        <v>0</v>
      </c>
      <c r="K31" s="26"/>
    </row>
    <row r="32" spans="1:11" ht="16.95" customHeight="1">
      <c r="A32" s="33">
        <v>29</v>
      </c>
      <c r="B32" s="74"/>
      <c r="C32" s="89"/>
      <c r="D32" s="89"/>
      <c r="E32" s="63"/>
      <c r="F32" s="29"/>
      <c r="G32" s="29"/>
      <c r="H32" s="63"/>
      <c r="I32" s="42"/>
      <c r="J32" s="30">
        <f t="shared" si="0"/>
        <v>0</v>
      </c>
      <c r="K32" s="26"/>
    </row>
    <row r="33" spans="1:11" ht="16.95" customHeight="1">
      <c r="A33" s="33">
        <v>30</v>
      </c>
      <c r="B33" s="75"/>
      <c r="C33" s="89"/>
      <c r="D33" s="89"/>
      <c r="E33" s="63"/>
      <c r="F33" s="29"/>
      <c r="G33" s="29"/>
      <c r="H33" s="63"/>
      <c r="I33" s="42"/>
      <c r="J33" s="30">
        <f t="shared" si="0"/>
        <v>0</v>
      </c>
      <c r="K33" s="26"/>
    </row>
    <row r="34" spans="1:11" ht="16.95" customHeight="1">
      <c r="A34" s="33">
        <v>31</v>
      </c>
      <c r="B34" s="74"/>
      <c r="C34" s="89"/>
      <c r="D34" s="89"/>
      <c r="E34" s="63"/>
      <c r="F34" s="29"/>
      <c r="G34" s="29"/>
      <c r="H34" s="63"/>
      <c r="I34" s="42"/>
      <c r="J34" s="30">
        <f t="shared" si="0"/>
        <v>0</v>
      </c>
      <c r="K34" s="26"/>
    </row>
    <row r="35" spans="1:11" ht="16.95" customHeight="1">
      <c r="A35" s="33">
        <v>32</v>
      </c>
      <c r="B35" s="75"/>
      <c r="C35" s="89"/>
      <c r="D35" s="89"/>
      <c r="E35" s="63"/>
      <c r="F35" s="29"/>
      <c r="G35" s="29"/>
      <c r="H35" s="63"/>
      <c r="I35" s="42"/>
      <c r="J35" s="30">
        <f t="shared" si="0"/>
        <v>0</v>
      </c>
      <c r="K35" s="26"/>
    </row>
    <row r="36" spans="1:11" ht="16.95" customHeight="1">
      <c r="A36" s="33">
        <v>33</v>
      </c>
      <c r="B36" s="74"/>
      <c r="C36" s="89"/>
      <c r="D36" s="89"/>
      <c r="E36" s="63"/>
      <c r="F36" s="29"/>
      <c r="G36" s="29"/>
      <c r="H36" s="63"/>
      <c r="I36" s="42"/>
      <c r="J36" s="30">
        <f t="shared" si="0"/>
        <v>0</v>
      </c>
      <c r="K36" s="26"/>
    </row>
    <row r="37" spans="1:11" ht="16.95" customHeight="1">
      <c r="A37" s="82">
        <v>34</v>
      </c>
      <c r="B37" s="74"/>
      <c r="C37" s="89"/>
      <c r="D37" s="89"/>
      <c r="E37" s="63"/>
      <c r="F37" s="63"/>
      <c r="G37" s="63"/>
      <c r="H37" s="63"/>
      <c r="I37" s="63"/>
      <c r="J37" s="64">
        <f t="shared" si="0"/>
        <v>0</v>
      </c>
      <c r="K37" s="26"/>
    </row>
    <row r="38" spans="1:11" ht="16.95" customHeight="1">
      <c r="A38" s="82">
        <v>35</v>
      </c>
      <c r="B38" s="75"/>
      <c r="C38" s="89"/>
      <c r="D38" s="89"/>
      <c r="E38" s="63"/>
      <c r="F38" s="63"/>
      <c r="G38" s="63"/>
      <c r="H38" s="63"/>
      <c r="I38" s="63"/>
      <c r="J38" s="64">
        <f t="shared" si="0"/>
        <v>0</v>
      </c>
      <c r="K38" s="26"/>
    </row>
    <row r="39" spans="1:11" ht="16.95" customHeight="1">
      <c r="A39" s="82">
        <v>36</v>
      </c>
      <c r="B39" s="75"/>
      <c r="C39" s="89"/>
      <c r="D39" s="89"/>
      <c r="E39" s="62"/>
      <c r="F39" s="62"/>
      <c r="G39" s="62"/>
      <c r="H39" s="63"/>
      <c r="I39" s="63"/>
      <c r="J39" s="64">
        <f t="shared" si="0"/>
        <v>0</v>
      </c>
      <c r="K39" s="26"/>
    </row>
    <row r="40" spans="1:11" ht="16.95" customHeight="1">
      <c r="A40" s="82">
        <v>37</v>
      </c>
      <c r="B40" s="78"/>
      <c r="C40" s="96"/>
      <c r="D40" s="96"/>
      <c r="E40" s="29"/>
      <c r="F40" s="29"/>
      <c r="G40" s="29"/>
      <c r="H40" s="63"/>
      <c r="I40" s="42"/>
      <c r="J40" s="30">
        <f t="shared" si="0"/>
        <v>0</v>
      </c>
      <c r="K40" s="26"/>
    </row>
    <row r="41" spans="1:11" ht="16.95" customHeight="1">
      <c r="A41" s="82">
        <v>38</v>
      </c>
      <c r="B41" s="74"/>
      <c r="C41" s="89"/>
      <c r="D41" s="89"/>
      <c r="E41" s="63"/>
      <c r="F41" s="63"/>
      <c r="G41" s="63"/>
      <c r="H41" s="63"/>
      <c r="I41" s="63"/>
      <c r="J41" s="64">
        <f t="shared" si="0"/>
        <v>0</v>
      </c>
      <c r="K41" s="83"/>
    </row>
    <row r="42" spans="1:11" ht="16.95" customHeight="1">
      <c r="A42" s="82">
        <v>39</v>
      </c>
      <c r="B42" s="75"/>
      <c r="C42" s="89"/>
      <c r="D42" s="89"/>
      <c r="E42" s="63"/>
      <c r="F42" s="63"/>
      <c r="G42" s="63"/>
      <c r="H42" s="63"/>
      <c r="I42" s="63"/>
      <c r="J42" s="64">
        <f t="shared" si="0"/>
        <v>0</v>
      </c>
      <c r="K42" s="26"/>
    </row>
    <row r="43" spans="1:11" ht="16.95" customHeight="1">
      <c r="A43" s="33">
        <v>40</v>
      </c>
      <c r="B43" s="74"/>
      <c r="C43" s="89"/>
      <c r="D43" s="89"/>
      <c r="E43" s="63"/>
      <c r="F43" s="63"/>
      <c r="G43" s="63"/>
      <c r="H43" s="63"/>
      <c r="I43" s="63"/>
      <c r="J43" s="64">
        <f t="shared" si="0"/>
        <v>0</v>
      </c>
      <c r="K43" s="26"/>
    </row>
    <row r="44" spans="1:11" ht="16.95" customHeight="1">
      <c r="A44" s="33">
        <v>41</v>
      </c>
      <c r="B44" s="78"/>
      <c r="C44" s="96"/>
      <c r="D44" s="96"/>
      <c r="E44" s="29"/>
      <c r="F44" s="29"/>
      <c r="G44" s="29"/>
      <c r="H44" s="63"/>
      <c r="I44" s="42"/>
      <c r="J44" s="30">
        <f t="shared" si="0"/>
        <v>0</v>
      </c>
      <c r="K44" s="26"/>
    </row>
    <row r="45" spans="1:11" ht="16.95" customHeight="1">
      <c r="A45" s="33">
        <v>44</v>
      </c>
      <c r="B45" s="78"/>
      <c r="C45" s="96"/>
      <c r="D45" s="96"/>
      <c r="E45" s="29"/>
      <c r="F45" s="29"/>
      <c r="G45" s="29"/>
      <c r="H45" s="63"/>
      <c r="I45" s="42"/>
      <c r="J45" s="30">
        <f t="shared" ref="J45:J50" si="1">SUM(E45:I45)</f>
        <v>0</v>
      </c>
      <c r="K45" s="26"/>
    </row>
    <row r="46" spans="1:11" ht="16.95" customHeight="1">
      <c r="A46" s="33">
        <v>45</v>
      </c>
      <c r="B46" s="78"/>
      <c r="C46" s="96"/>
      <c r="D46" s="96"/>
      <c r="E46" s="29"/>
      <c r="F46" s="29"/>
      <c r="G46" s="29"/>
      <c r="H46" s="63"/>
      <c r="I46" s="42"/>
      <c r="J46" s="30">
        <f t="shared" si="1"/>
        <v>0</v>
      </c>
      <c r="K46" s="26"/>
    </row>
    <row r="47" spans="1:11" ht="16.95" customHeight="1">
      <c r="A47" s="33">
        <v>46</v>
      </c>
      <c r="B47" s="78"/>
      <c r="C47" s="96"/>
      <c r="D47" s="96"/>
      <c r="E47" s="29"/>
      <c r="F47" s="29"/>
      <c r="G47" s="29"/>
      <c r="H47" s="63"/>
      <c r="I47" s="42"/>
      <c r="J47" s="30">
        <f t="shared" si="1"/>
        <v>0</v>
      </c>
      <c r="K47" s="26"/>
    </row>
    <row r="48" spans="1:11" ht="16.95" customHeight="1">
      <c r="A48" s="33">
        <v>47</v>
      </c>
      <c r="B48" s="78"/>
      <c r="C48" s="96"/>
      <c r="D48" s="96"/>
      <c r="E48" s="29"/>
      <c r="F48" s="29"/>
      <c r="G48" s="29"/>
      <c r="H48" s="63"/>
      <c r="I48" s="42"/>
      <c r="J48" s="30">
        <f t="shared" si="1"/>
        <v>0</v>
      </c>
      <c r="K48" s="26"/>
    </row>
    <row r="49" spans="1:11" ht="16.95" customHeight="1">
      <c r="A49" s="33">
        <v>48</v>
      </c>
      <c r="B49" s="78"/>
      <c r="C49" s="28"/>
      <c r="D49" s="28"/>
      <c r="E49" s="29"/>
      <c r="F49" s="29"/>
      <c r="G49" s="29"/>
      <c r="H49" s="63"/>
      <c r="I49" s="42"/>
      <c r="J49" s="30">
        <f t="shared" si="1"/>
        <v>0</v>
      </c>
      <c r="K49" s="26"/>
    </row>
    <row r="50" spans="1:11" ht="16.95" customHeight="1">
      <c r="A50" s="33">
        <v>49</v>
      </c>
      <c r="B50" s="78"/>
      <c r="C50" s="28"/>
      <c r="D50" s="28"/>
      <c r="E50" s="29"/>
      <c r="F50" s="29"/>
      <c r="G50" s="29"/>
      <c r="H50" s="63"/>
      <c r="I50" s="42"/>
      <c r="J50" s="30">
        <f t="shared" si="1"/>
        <v>0</v>
      </c>
      <c r="K50" s="26"/>
    </row>
    <row r="51" spans="1:11" ht="16.95" customHeight="1">
      <c r="K51" s="26"/>
    </row>
  </sheetData>
  <sheetProtection algorithmName="SHA-512" hashValue="p6rMyVh04wlpwhlzcIWt3cTG6TdPDO3hvwxTHntCbwR/oWSlIQD/i64lfC/WoLVVIerx67A/SRuQr02bKdaOkw==" saltValue="6ewB7mbLYpKa0fjMg1+i9g==" spinCount="100000" sheet="1" formatColumns="0" sort="0"/>
  <sortState xmlns:xlrd2="http://schemas.microsoft.com/office/spreadsheetml/2017/richdata2" ref="B4:J29">
    <sortCondition descending="1" ref="J4:J29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SUMIF('JUNIOR CUP'!C4:C48,"ACCR",'JUNIOR CUP'!J4:J48)</f>
        <v>95</v>
      </c>
    </row>
    <row r="4" spans="1:2" ht="13.95" customHeight="1">
      <c r="A4" s="13" t="s">
        <v>14</v>
      </c>
      <c r="B4" s="13">
        <f>SUMIF('JUNIOR CUP'!C4:C48,"ACU",'JUNIOR CUP'!J4:J48)</f>
        <v>166</v>
      </c>
    </row>
    <row r="5" spans="1:2" ht="13.95" customHeight="1">
      <c r="A5" s="13" t="s">
        <v>37</v>
      </c>
      <c r="B5" s="13">
        <f>SUMIF('JUNIOR CUP'!C4:C48,"AMA",'JUNIOR CUP'!J4:J48)</f>
        <v>0</v>
      </c>
    </row>
    <row r="6" spans="1:2" ht="13.95" customHeight="1">
      <c r="A6" s="13" t="s">
        <v>38</v>
      </c>
      <c r="B6" s="13">
        <f>SUMIF('JUNIOR CUP'!C4:C48,"AMOTOE",'JUNIOR CUP'!J4:J48)</f>
        <v>0</v>
      </c>
    </row>
    <row r="7" spans="1:2" ht="13.95" customHeight="1">
      <c r="A7" s="13" t="s">
        <v>60</v>
      </c>
      <c r="B7" s="13">
        <f>SUMIF('JUNIOR CUP'!C4:C48,"AMZS",'JUNIOR CUP'!J4:J48)</f>
        <v>0</v>
      </c>
    </row>
    <row r="8" spans="1:2" ht="13.95" customHeight="1">
      <c r="A8" s="13" t="s">
        <v>39</v>
      </c>
      <c r="B8" s="13">
        <f>SUMIF('JUNIOR CUP'!C4:C48,"BFMS",'JUNIOR CUP'!J4:J48)</f>
        <v>0</v>
      </c>
    </row>
    <row r="9" spans="1:2" ht="13.95" customHeight="1">
      <c r="A9" s="13" t="s">
        <v>40</v>
      </c>
      <c r="B9" s="14">
        <f>SUMIF('JUNIOR CUP'!C4:C48,"BIHAMK",'JUNIOR CUP'!J4:J48)</f>
        <v>0</v>
      </c>
    </row>
    <row r="10" spans="1:2" ht="13.95" customHeight="1">
      <c r="A10" s="13" t="s">
        <v>41</v>
      </c>
      <c r="B10" s="13">
        <f>SUMIF('JUNIOR CUP'!C4:C48,"BMF",'JUNIOR CUP'!J4:J48)</f>
        <v>0</v>
      </c>
    </row>
    <row r="11" spans="1:2" ht="13.95" customHeight="1">
      <c r="A11" s="13" t="s">
        <v>42</v>
      </c>
      <c r="B11" s="13">
        <f>SUMIF('JUNIOR CUP'!C4:C48,"CMA",'JUNIOR CUP'!J4:J48)</f>
        <v>0</v>
      </c>
    </row>
    <row r="12" spans="1:2" ht="13.5" customHeight="1">
      <c r="A12" s="13" t="s">
        <v>25</v>
      </c>
      <c r="B12" s="13">
        <f>SUMIF('JUNIOR CUP'!C4:C48,"CTMSA",'JUNIOR CUP'!J4:J48)</f>
        <v>0</v>
      </c>
    </row>
    <row r="13" spans="1:2" ht="13.5" customHeight="1">
      <c r="A13" s="13" t="s">
        <v>43</v>
      </c>
      <c r="B13" s="13">
        <f>SUMIF('JUNIOR CUP'!C4:C48,"CYMF",'JUNIOR CUP'!J4:J48)</f>
        <v>0</v>
      </c>
    </row>
    <row r="14" spans="1:2" ht="13.5" customHeight="1">
      <c r="A14" s="13" t="s">
        <v>11</v>
      </c>
      <c r="B14" s="13">
        <f>SUMIF('JUNIOR CUP'!C4:C48,"DMSB",'JUNIOR CUP'!J4:J48)</f>
        <v>290</v>
      </c>
    </row>
    <row r="15" spans="1:2" ht="13.5" customHeight="1">
      <c r="A15" s="13" t="s">
        <v>23</v>
      </c>
      <c r="B15" s="13">
        <f>SUMIF('JUNIOR CUP'!C4:C48,"DMU",'JUNIOR CUP'!J4:J48)</f>
        <v>185</v>
      </c>
    </row>
    <row r="16" spans="1:2" ht="13.5" customHeight="1">
      <c r="A16" s="13" t="s">
        <v>22</v>
      </c>
      <c r="B16" s="13">
        <f>SUMIF('JUNIOR CUP'!C4:C48,"EMF",'JUNIOR CUP'!J4:J48)</f>
        <v>0</v>
      </c>
    </row>
    <row r="17" spans="1:2" ht="13.5" customHeight="1">
      <c r="A17" s="13" t="s">
        <v>16</v>
      </c>
      <c r="B17" s="13">
        <f>SUMIF('JUNIOR CUP'!C4:C48,"FFM",'JUNIOR CUP'!J4:J48)</f>
        <v>14</v>
      </c>
    </row>
    <row r="18" spans="1:2" ht="13.5" customHeight="1">
      <c r="A18" s="13" t="s">
        <v>44</v>
      </c>
      <c r="B18" s="13">
        <f>SUMIF('JUNIOR CUP'!C4:C48,"FMA",'JUNIOR CUP'!J4:J48)</f>
        <v>19</v>
      </c>
    </row>
    <row r="19" spans="1:2" ht="13.5" customHeight="1">
      <c r="A19" s="13" t="s">
        <v>20</v>
      </c>
      <c r="B19" s="13">
        <f>SUMIF('JUNIOR CUP'!C4:C48,"FMB",'JUNIOR CUP'!J4:J48)</f>
        <v>0</v>
      </c>
    </row>
    <row r="20" spans="1:2" ht="13.5" customHeight="1">
      <c r="A20" s="13" t="s">
        <v>7</v>
      </c>
      <c r="B20" s="13">
        <f>SUMIF('JUNIOR CUP'!C4:C48,"FMI",'JUNIOR CUP'!J4:J48)</f>
        <v>0</v>
      </c>
    </row>
    <row r="21" spans="1:2" ht="13.5" customHeight="1">
      <c r="A21" s="13" t="s">
        <v>45</v>
      </c>
      <c r="B21" s="13">
        <f>SUMIF('JUNIOR CUP'!C4:C48,"FMP",'JUNIOR CUP'!J4:J48)</f>
        <v>0</v>
      </c>
    </row>
    <row r="22" spans="1:2" ht="13.5" customHeight="1">
      <c r="A22" s="13" t="s">
        <v>46</v>
      </c>
      <c r="B22" s="13">
        <f>SUMIF('JUNIOR CUP'!C4:C48,"FMRM",'JUNIOR CUP'!J4:J48)</f>
        <v>0</v>
      </c>
    </row>
    <row r="23" spans="1:2" ht="13.5" customHeight="1">
      <c r="A23" s="13" t="s">
        <v>47</v>
      </c>
      <c r="B23" s="13">
        <f>SUMIF('JUNIOR CUP'!C4:C48,"FMS",'JUNIOR CUP'!J4:J48)</f>
        <v>0</v>
      </c>
    </row>
    <row r="24" spans="1:2" ht="13.5" customHeight="1">
      <c r="A24" s="13" t="s">
        <v>48</v>
      </c>
      <c r="B24" s="13">
        <f>SUMIF('JUNIOR CUP'!C4:C48,"FMU",'JUNIOR CUP'!J4:J48)</f>
        <v>0</v>
      </c>
    </row>
    <row r="25" spans="1:2" ht="13.5" customHeight="1">
      <c r="A25" s="13" t="s">
        <v>49</v>
      </c>
      <c r="B25" s="13">
        <f>SUMIF('JUNIOR CUP'!C4:C48,"FRM",'JUNIOR CUP'!J4:J48)</f>
        <v>0</v>
      </c>
    </row>
    <row r="26" spans="1:2" ht="13.5" customHeight="1">
      <c r="A26" s="13" t="s">
        <v>17</v>
      </c>
      <c r="B26" s="13">
        <f>SUMIF('JUNIOR CUP'!C4:C48,"KNMV",'JUNIOR CUP'!J4:J48)</f>
        <v>0</v>
      </c>
    </row>
    <row r="27" spans="1:2" ht="13.5" customHeight="1">
      <c r="A27" s="13" t="s">
        <v>61</v>
      </c>
      <c r="B27" s="13">
        <f>SUMIF('JUNIOR CUP'!C4:C48,"LaMSF",'JUNIOR CUP'!J4:J48)</f>
        <v>0</v>
      </c>
    </row>
    <row r="28" spans="1:2" ht="13.5" customHeight="1">
      <c r="A28" s="13" t="s">
        <v>50</v>
      </c>
      <c r="B28" s="13">
        <f>SUMIF('JUNIOR CUP'!C4:C48,"LMSF",'JUNIOR CUP'!J4:J48)</f>
        <v>0</v>
      </c>
    </row>
    <row r="29" spans="1:2" ht="13.5" customHeight="1">
      <c r="A29" s="13" t="s">
        <v>24</v>
      </c>
      <c r="B29" s="13">
        <f>SUMIF('JUNIOR CUP'!C4:C48,"MA",'JUNIOR CUP'!J4:J48)</f>
        <v>0</v>
      </c>
    </row>
    <row r="30" spans="1:2" ht="13.5" customHeight="1">
      <c r="A30" s="13" t="s">
        <v>51</v>
      </c>
      <c r="B30" s="13">
        <f>SUMIF('JUNIOR CUP'!C4:C48,"MAMS",'JUNIOR CUP'!J4:J48)</f>
        <v>66</v>
      </c>
    </row>
    <row r="31" spans="1:2" ht="13.5" customHeight="1">
      <c r="A31" s="13" t="s">
        <v>52</v>
      </c>
      <c r="B31" s="13">
        <f>SUMIF('JUNIOR CUP'!C4:C48,"MCM",'JUNIOR CUP'!J4:J48)</f>
        <v>0</v>
      </c>
    </row>
    <row r="32" spans="1:2" ht="13.5" customHeight="1">
      <c r="A32" s="13" t="s">
        <v>53</v>
      </c>
      <c r="B32" s="13">
        <f>SUMIF('JUNIOR CUP'!C4:C48,"MCUI",'JUNIOR CUP'!J4:J48)</f>
        <v>0</v>
      </c>
    </row>
    <row r="33" spans="1:2" ht="13.5" customHeight="1">
      <c r="A33" s="13" t="s">
        <v>54</v>
      </c>
      <c r="B33" s="13">
        <f>SUMIF('JUNIOR CUP'!C4:C48,"FMJ",'JUNIOR CUP'!J4:J48)</f>
        <v>0</v>
      </c>
    </row>
    <row r="34" spans="1:2" ht="13.5" customHeight="1">
      <c r="A34" s="13" t="s">
        <v>55</v>
      </c>
      <c r="B34" s="13">
        <f>SUMIF('JUNIOR CUP'!C4:C48,"MFR",'JUNIOR CUP'!J4:J48)</f>
        <v>0</v>
      </c>
    </row>
    <row r="35" spans="1:2" ht="13.5" customHeight="1">
      <c r="A35" s="13" t="s">
        <v>56</v>
      </c>
      <c r="B35" s="13">
        <f>SUMIF('JUNIOR CUP'!C4:C48,"MSI",'JUNIOR CUP'!J4:J48)</f>
        <v>0</v>
      </c>
    </row>
    <row r="36" spans="1:2" ht="13.5" customHeight="1">
      <c r="A36" s="13" t="s">
        <v>57</v>
      </c>
      <c r="B36" s="13">
        <f>SUMIF('JUNIOR CUP'!C4:C48,"MUL",'JUNIOR CUP'!J4:J48)</f>
        <v>0</v>
      </c>
    </row>
    <row r="37" spans="1:2" ht="13.5" customHeight="1">
      <c r="A37" s="13" t="s">
        <v>10</v>
      </c>
      <c r="B37" s="13">
        <f>SUMIF('JUNIOR CUP'!C4:C48,"NMF",'JUNIOR CUP'!J4:J48)</f>
        <v>559</v>
      </c>
    </row>
    <row r="38" spans="1:2" ht="13.5" customHeight="1">
      <c r="A38" s="13" t="s">
        <v>62</v>
      </c>
      <c r="B38" s="13">
        <f>SUMIF('JUNIOR CUP'!C4:C48,"AMF",'JUNIOR CUP'!J4:J48)</f>
        <v>0</v>
      </c>
    </row>
    <row r="39" spans="1:2" ht="13.5" customHeight="1">
      <c r="A39" s="13" t="s">
        <v>12</v>
      </c>
      <c r="B39" s="13">
        <f>SUMIF('JUNIOR CUP'!C4:C48,"PZM",'JUNIOR CUP'!J4:J48)</f>
        <v>405</v>
      </c>
    </row>
    <row r="40" spans="1:2" ht="13.5" customHeight="1">
      <c r="A40" s="13" t="s">
        <v>8</v>
      </c>
      <c r="B40" s="13">
        <f>SUMIF('JUNIOR CUP'!C4:C48,"RFME",'JUNIOR CUP'!J4:J48)</f>
        <v>0</v>
      </c>
    </row>
    <row r="41" spans="1:2" ht="13.5" customHeight="1">
      <c r="A41" s="13" t="s">
        <v>19</v>
      </c>
      <c r="B41" s="13">
        <f>SUMIF('JUNIOR CUP'!C4:C48,"SMF",'JUNIOR CUP'!J4:J48)</f>
        <v>0</v>
      </c>
    </row>
    <row r="42" spans="1:2" ht="13.5" customHeight="1">
      <c r="A42" s="13" t="s">
        <v>15</v>
      </c>
      <c r="B42" s="13">
        <f>SUMIF('JUNIOR CUP'!C4:C48,"SML",'JUNIOR CUP'!J4:J48)</f>
        <v>199</v>
      </c>
    </row>
    <row r="43" spans="1:2" ht="13.5" customHeight="1">
      <c r="A43" s="13" t="s">
        <v>6</v>
      </c>
      <c r="B43" s="13">
        <f>SUMIF('JUNIOR CUP'!C4:C48,"SVEMO",'JUNIOR CUP'!J4:J48)</f>
        <v>173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52"/>
  <sheetViews>
    <sheetView showGridLines="0" zoomScale="125" zoomScaleNormal="125" workbookViewId="0">
      <selection activeCell="G10" sqref="G10"/>
    </sheetView>
  </sheetViews>
  <sheetFormatPr defaultColWidth="4.15234375" defaultRowHeight="13.5" customHeight="1"/>
  <cols>
    <col min="1" max="1" width="4.15234375" style="13" customWidth="1"/>
    <col min="2" max="2" width="22.4609375" style="13" customWidth="1"/>
    <col min="3" max="3" width="6.61328125" style="13" customWidth="1"/>
    <col min="4" max="4" width="7.61328125" style="13" customWidth="1"/>
    <col min="5" max="8" width="9.69140625" style="13" customWidth="1"/>
    <col min="9" max="9" width="9.3828125" style="13" customWidth="1"/>
    <col min="10" max="10" width="5.23046875" style="13" customWidth="1"/>
    <col min="11" max="11" width="4.84375" style="13" customWidth="1"/>
    <col min="12" max="12" width="5" style="13" customWidth="1"/>
    <col min="13" max="256" width="4.15234375" style="13" customWidth="1"/>
    <col min="257" max="16384" width="4.15234375" style="1"/>
  </cols>
  <sheetData>
    <row r="1" spans="1:12" ht="35.549999999999997" customHeight="1">
      <c r="A1" s="120" t="s">
        <v>69</v>
      </c>
      <c r="B1" s="121"/>
      <c r="C1" s="121"/>
      <c r="D1" s="121"/>
      <c r="E1" s="121"/>
      <c r="F1" s="121"/>
      <c r="G1" s="121"/>
      <c r="H1" s="122"/>
      <c r="I1" s="121"/>
      <c r="J1" s="121"/>
    </row>
    <row r="2" spans="1:12" ht="24.75" customHeight="1">
      <c r="A2" s="123" t="s">
        <v>1</v>
      </c>
      <c r="B2" s="125" t="s">
        <v>2</v>
      </c>
      <c r="C2" s="123" t="s">
        <v>3</v>
      </c>
      <c r="D2" s="123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84"/>
    </row>
    <row r="3" spans="1:12" ht="33" customHeight="1">
      <c r="A3" s="124"/>
      <c r="B3" s="126"/>
      <c r="C3" s="124"/>
      <c r="D3" s="124"/>
      <c r="E3" s="102" t="s">
        <v>63</v>
      </c>
      <c r="F3" s="102" t="s">
        <v>64</v>
      </c>
      <c r="G3" s="102" t="s">
        <v>65</v>
      </c>
      <c r="H3" s="102" t="s">
        <v>205</v>
      </c>
      <c r="I3" s="102" t="s">
        <v>66</v>
      </c>
      <c r="J3" s="84" t="s">
        <v>5</v>
      </c>
    </row>
    <row r="4" spans="1:12" ht="16.95" customHeight="1">
      <c r="A4" s="48">
        <v>1</v>
      </c>
      <c r="B4" s="74" t="s">
        <v>115</v>
      </c>
      <c r="C4" s="89" t="s">
        <v>14</v>
      </c>
      <c r="D4" s="89" t="s">
        <v>79</v>
      </c>
      <c r="E4" s="63">
        <v>100</v>
      </c>
      <c r="F4" s="29">
        <v>100</v>
      </c>
      <c r="G4" s="42">
        <v>100</v>
      </c>
      <c r="H4" s="63"/>
      <c r="I4" s="29"/>
      <c r="J4" s="51">
        <f>SUM(E4:I4)</f>
        <v>300</v>
      </c>
    </row>
    <row r="5" spans="1:12" ht="16.95" customHeight="1">
      <c r="A5" s="48">
        <v>2</v>
      </c>
      <c r="B5" s="74" t="s">
        <v>118</v>
      </c>
      <c r="C5" s="89" t="s">
        <v>15</v>
      </c>
      <c r="D5" s="89" t="s">
        <v>99</v>
      </c>
      <c r="E5" s="63">
        <v>55</v>
      </c>
      <c r="F5" s="29">
        <v>70</v>
      </c>
      <c r="G5" s="42">
        <v>85</v>
      </c>
      <c r="H5" s="63"/>
      <c r="I5" s="29"/>
      <c r="J5" s="51">
        <f>SUM(E5:I5)</f>
        <v>210</v>
      </c>
    </row>
    <row r="6" spans="1:12" ht="16.95" customHeight="1">
      <c r="A6" s="48">
        <v>3</v>
      </c>
      <c r="B6" s="75" t="s">
        <v>117</v>
      </c>
      <c r="C6" s="89" t="s">
        <v>11</v>
      </c>
      <c r="D6" s="89" t="s">
        <v>102</v>
      </c>
      <c r="E6" s="63">
        <v>70</v>
      </c>
      <c r="F6" s="29">
        <v>85</v>
      </c>
      <c r="G6" s="42"/>
      <c r="H6" s="63"/>
      <c r="I6" s="29"/>
      <c r="J6" s="51">
        <f>SUM(E6:I6)</f>
        <v>155</v>
      </c>
      <c r="L6" s="14"/>
    </row>
    <row r="7" spans="1:12" ht="16.95" customHeight="1">
      <c r="A7" s="48">
        <v>4</v>
      </c>
      <c r="B7" s="74" t="s">
        <v>116</v>
      </c>
      <c r="C7" s="89" t="s">
        <v>23</v>
      </c>
      <c r="D7" s="89" t="s">
        <v>114</v>
      </c>
      <c r="E7" s="63">
        <v>45</v>
      </c>
      <c r="F7" s="29">
        <v>60</v>
      </c>
      <c r="G7" s="42"/>
      <c r="H7" s="63"/>
      <c r="I7" s="29"/>
      <c r="J7" s="51">
        <f>SUM(E7:I7)</f>
        <v>105</v>
      </c>
    </row>
    <row r="8" spans="1:12" ht="16.95" customHeight="1">
      <c r="A8" s="48">
        <v>5</v>
      </c>
      <c r="B8" s="74" t="s">
        <v>121</v>
      </c>
      <c r="C8" s="89" t="s">
        <v>8</v>
      </c>
      <c r="D8" s="89" t="s">
        <v>114</v>
      </c>
      <c r="E8" s="63">
        <v>85</v>
      </c>
      <c r="F8" s="29"/>
      <c r="G8" s="42"/>
      <c r="H8" s="63"/>
      <c r="I8" s="29"/>
      <c r="J8" s="51">
        <f>SUM(E8:I8)</f>
        <v>85</v>
      </c>
    </row>
    <row r="9" spans="1:12" ht="16.95" customHeight="1">
      <c r="A9" s="48">
        <v>6</v>
      </c>
      <c r="B9" s="74" t="s">
        <v>199</v>
      </c>
      <c r="C9" s="89" t="s">
        <v>9</v>
      </c>
      <c r="D9" s="89" t="s">
        <v>102</v>
      </c>
      <c r="E9" s="63"/>
      <c r="F9" s="29"/>
      <c r="G9" s="42">
        <v>70</v>
      </c>
      <c r="H9" s="63"/>
      <c r="I9" s="29"/>
      <c r="J9" s="51">
        <f>SUM(E9:I9)</f>
        <v>70</v>
      </c>
    </row>
    <row r="10" spans="1:12" ht="16.95" customHeight="1">
      <c r="A10" s="48">
        <v>7</v>
      </c>
      <c r="B10" s="74" t="s">
        <v>120</v>
      </c>
      <c r="C10" s="89" t="s">
        <v>8</v>
      </c>
      <c r="D10" s="89" t="s">
        <v>82</v>
      </c>
      <c r="E10" s="63">
        <v>60</v>
      </c>
      <c r="F10" s="29"/>
      <c r="G10" s="42"/>
      <c r="H10" s="63"/>
      <c r="I10" s="29"/>
      <c r="J10" s="51">
        <f>SUM(E10:I10)</f>
        <v>60</v>
      </c>
    </row>
    <row r="11" spans="1:12" ht="16.95" customHeight="1">
      <c r="A11" s="48">
        <v>8</v>
      </c>
      <c r="B11" s="74" t="s">
        <v>119</v>
      </c>
      <c r="C11" s="89" t="s">
        <v>15</v>
      </c>
      <c r="D11" s="89" t="s">
        <v>82</v>
      </c>
      <c r="E11" s="63">
        <v>50</v>
      </c>
      <c r="F11" s="29"/>
      <c r="G11" s="42"/>
      <c r="H11" s="63"/>
      <c r="I11" s="29"/>
      <c r="J11" s="51">
        <f>SUM(E11:I11)</f>
        <v>50</v>
      </c>
      <c r="L11" s="14"/>
    </row>
    <row r="12" spans="1:12" ht="16.95" customHeight="1">
      <c r="A12" s="48">
        <v>9</v>
      </c>
      <c r="B12" s="74"/>
      <c r="C12" s="89"/>
      <c r="D12" s="89"/>
      <c r="E12" s="63"/>
      <c r="F12" s="29"/>
      <c r="G12" s="42"/>
      <c r="H12" s="63"/>
      <c r="I12" s="29"/>
      <c r="J12" s="51">
        <f t="shared" ref="J11:J27" si="0">SUM(E12:I12)</f>
        <v>0</v>
      </c>
    </row>
    <row r="13" spans="1:12" ht="16.95" customHeight="1">
      <c r="A13" s="48">
        <v>10</v>
      </c>
      <c r="B13" s="74"/>
      <c r="C13" s="89"/>
      <c r="D13" s="89"/>
      <c r="E13" s="63"/>
      <c r="F13" s="29"/>
      <c r="G13" s="42"/>
      <c r="H13" s="63"/>
      <c r="I13" s="29"/>
      <c r="J13" s="51">
        <f t="shared" si="0"/>
        <v>0</v>
      </c>
    </row>
    <row r="14" spans="1:12" ht="16.95" customHeight="1">
      <c r="A14" s="48">
        <v>11</v>
      </c>
      <c r="B14" s="72"/>
      <c r="C14" s="92"/>
      <c r="D14" s="92"/>
      <c r="E14" s="20"/>
      <c r="F14" s="20"/>
      <c r="G14" s="20"/>
      <c r="H14" s="63"/>
      <c r="I14" s="20"/>
      <c r="J14" s="51">
        <f t="shared" si="0"/>
        <v>0</v>
      </c>
    </row>
    <row r="15" spans="1:12" ht="16.95" customHeight="1">
      <c r="A15" s="48">
        <v>12</v>
      </c>
      <c r="B15" s="74"/>
      <c r="C15" s="89"/>
      <c r="D15" s="89"/>
      <c r="E15" s="63"/>
      <c r="F15" s="20"/>
      <c r="G15" s="20"/>
      <c r="H15" s="63"/>
      <c r="I15" s="20"/>
      <c r="J15" s="51">
        <f t="shared" si="0"/>
        <v>0</v>
      </c>
    </row>
    <row r="16" spans="1:12" ht="16.95" customHeight="1">
      <c r="A16" s="48">
        <v>13</v>
      </c>
      <c r="B16" s="72"/>
      <c r="C16" s="92"/>
      <c r="D16" s="92"/>
      <c r="E16" s="20"/>
      <c r="F16" s="20"/>
      <c r="G16" s="20"/>
      <c r="H16" s="63"/>
      <c r="I16" s="20"/>
      <c r="J16" s="51">
        <f t="shared" si="0"/>
        <v>0</v>
      </c>
    </row>
    <row r="17" spans="1:10" ht="16.95" customHeight="1">
      <c r="A17" s="48">
        <v>14</v>
      </c>
      <c r="B17" s="72"/>
      <c r="C17" s="92"/>
      <c r="D17" s="92"/>
      <c r="E17" s="20"/>
      <c r="F17" s="20"/>
      <c r="G17" s="20"/>
      <c r="H17" s="63"/>
      <c r="I17" s="20"/>
      <c r="J17" s="51">
        <f t="shared" si="0"/>
        <v>0</v>
      </c>
    </row>
    <row r="18" spans="1:10" ht="16.95" customHeight="1">
      <c r="A18" s="48">
        <v>15</v>
      </c>
      <c r="B18" s="73"/>
      <c r="C18" s="92"/>
      <c r="D18" s="92"/>
      <c r="E18" s="20"/>
      <c r="F18" s="20"/>
      <c r="G18" s="20"/>
      <c r="H18" s="63"/>
      <c r="I18" s="20"/>
      <c r="J18" s="51">
        <f t="shared" si="0"/>
        <v>0</v>
      </c>
    </row>
    <row r="19" spans="1:10" ht="16.95" customHeight="1">
      <c r="A19" s="48">
        <v>16</v>
      </c>
      <c r="B19" s="72"/>
      <c r="C19" s="92"/>
      <c r="D19" s="92"/>
      <c r="E19" s="20"/>
      <c r="F19" s="20"/>
      <c r="G19" s="20"/>
      <c r="H19" s="63"/>
      <c r="I19" s="20"/>
      <c r="J19" s="51">
        <f t="shared" si="0"/>
        <v>0</v>
      </c>
    </row>
    <row r="20" spans="1:10" ht="16.95" customHeight="1">
      <c r="A20" s="48">
        <v>17</v>
      </c>
      <c r="B20" s="72"/>
      <c r="C20" s="92"/>
      <c r="D20" s="92"/>
      <c r="E20" s="20"/>
      <c r="F20" s="20"/>
      <c r="G20" s="20"/>
      <c r="H20" s="63"/>
      <c r="I20" s="20"/>
      <c r="J20" s="51">
        <f t="shared" si="0"/>
        <v>0</v>
      </c>
    </row>
    <row r="21" spans="1:10" ht="16.95" customHeight="1">
      <c r="A21" s="48">
        <v>18</v>
      </c>
      <c r="B21" s="72"/>
      <c r="C21" s="92"/>
      <c r="D21" s="92"/>
      <c r="E21" s="20"/>
      <c r="F21" s="20"/>
      <c r="G21" s="20"/>
      <c r="H21" s="63"/>
      <c r="I21" s="20"/>
      <c r="J21" s="51">
        <f t="shared" si="0"/>
        <v>0</v>
      </c>
    </row>
    <row r="22" spans="1:10" ht="16.95" customHeight="1">
      <c r="A22" s="48">
        <v>19</v>
      </c>
      <c r="B22" s="72"/>
      <c r="C22" s="92"/>
      <c r="D22" s="92"/>
      <c r="E22" s="20"/>
      <c r="F22" s="20"/>
      <c r="G22" s="20"/>
      <c r="H22" s="63"/>
      <c r="I22" s="20"/>
      <c r="J22" s="51">
        <f t="shared" si="0"/>
        <v>0</v>
      </c>
    </row>
    <row r="23" spans="1:10" ht="16.95" customHeight="1">
      <c r="A23" s="48">
        <v>20</v>
      </c>
      <c r="B23" s="72"/>
      <c r="C23" s="92"/>
      <c r="D23" s="92"/>
      <c r="E23" s="20"/>
      <c r="F23" s="20"/>
      <c r="G23" s="20"/>
      <c r="H23" s="63"/>
      <c r="I23" s="20"/>
      <c r="J23" s="51">
        <f t="shared" si="0"/>
        <v>0</v>
      </c>
    </row>
    <row r="24" spans="1:10" ht="16.95" customHeight="1">
      <c r="A24" s="48">
        <v>21</v>
      </c>
      <c r="B24" s="74"/>
      <c r="C24" s="89"/>
      <c r="D24" s="89"/>
      <c r="E24" s="63"/>
      <c r="F24" s="63"/>
      <c r="G24" s="63"/>
      <c r="H24" s="63"/>
      <c r="I24" s="63"/>
      <c r="J24" s="67">
        <f t="shared" si="0"/>
        <v>0</v>
      </c>
    </row>
    <row r="25" spans="1:10" ht="16.95" customHeight="1">
      <c r="A25" s="48">
        <v>22</v>
      </c>
      <c r="B25" s="75"/>
      <c r="C25" s="89"/>
      <c r="D25" s="89"/>
      <c r="E25" s="63"/>
      <c r="F25" s="63"/>
      <c r="G25" s="63"/>
      <c r="H25" s="63"/>
      <c r="I25" s="63"/>
      <c r="J25" s="67">
        <f t="shared" si="0"/>
        <v>0</v>
      </c>
    </row>
    <row r="26" spans="1:10" ht="16.95" customHeight="1">
      <c r="A26" s="48">
        <v>23</v>
      </c>
      <c r="B26" s="76"/>
      <c r="C26" s="97"/>
      <c r="D26" s="65"/>
      <c r="E26" s="65"/>
      <c r="F26" s="65"/>
      <c r="G26" s="65"/>
      <c r="H26" s="65"/>
      <c r="I26" s="65"/>
      <c r="J26" s="67">
        <f t="shared" si="0"/>
        <v>0</v>
      </c>
    </row>
    <row r="27" spans="1:10" ht="16.95" customHeight="1">
      <c r="A27" s="48">
        <v>24</v>
      </c>
      <c r="B27" s="74"/>
      <c r="C27" s="89"/>
      <c r="D27" s="66"/>
      <c r="E27" s="63"/>
      <c r="F27" s="63"/>
      <c r="G27" s="63"/>
      <c r="H27" s="63"/>
      <c r="I27" s="63"/>
      <c r="J27" s="67">
        <f t="shared" si="0"/>
        <v>0</v>
      </c>
    </row>
    <row r="28" spans="1:10" ht="16.95" customHeight="1">
      <c r="A28" s="48">
        <v>26</v>
      </c>
      <c r="B28" s="75"/>
      <c r="C28" s="89"/>
      <c r="D28" s="62"/>
      <c r="E28" s="63"/>
      <c r="F28" s="63"/>
      <c r="G28" s="63"/>
      <c r="H28" s="63"/>
      <c r="I28" s="63"/>
      <c r="J28" s="67">
        <f t="shared" ref="J28:J33" si="1">SUM(E28:I28)</f>
        <v>0</v>
      </c>
    </row>
    <row r="29" spans="1:10" ht="16.95" customHeight="1">
      <c r="A29" s="48">
        <v>27</v>
      </c>
      <c r="B29" s="74"/>
      <c r="C29" s="66"/>
      <c r="D29" s="66"/>
      <c r="E29" s="63"/>
      <c r="F29" s="63"/>
      <c r="G29" s="63"/>
      <c r="H29" s="63"/>
      <c r="I29" s="63"/>
      <c r="J29" s="67">
        <f t="shared" si="1"/>
        <v>0</v>
      </c>
    </row>
    <row r="30" spans="1:10" ht="16.95" customHeight="1">
      <c r="A30" s="48">
        <v>28</v>
      </c>
      <c r="B30" s="77"/>
      <c r="C30" s="32"/>
      <c r="D30" s="32"/>
      <c r="E30" s="29"/>
      <c r="F30" s="29"/>
      <c r="G30" s="29"/>
      <c r="H30" s="63"/>
      <c r="I30" s="29"/>
      <c r="J30" s="52">
        <f t="shared" si="1"/>
        <v>0</v>
      </c>
    </row>
    <row r="31" spans="1:10" ht="16.95" customHeight="1">
      <c r="A31" s="48">
        <v>29</v>
      </c>
      <c r="B31" s="78"/>
      <c r="C31" s="28"/>
      <c r="D31" s="28"/>
      <c r="E31" s="29"/>
      <c r="F31" s="29"/>
      <c r="G31" s="29"/>
      <c r="H31" s="63"/>
      <c r="I31" s="29"/>
      <c r="J31" s="52">
        <f t="shared" si="1"/>
        <v>0</v>
      </c>
    </row>
    <row r="32" spans="1:10" ht="16.95" customHeight="1">
      <c r="A32" s="48">
        <v>30</v>
      </c>
      <c r="B32" s="73"/>
      <c r="C32" s="21"/>
      <c r="D32" s="21"/>
      <c r="E32" s="20"/>
      <c r="F32" s="20"/>
      <c r="G32" s="20"/>
      <c r="H32" s="63"/>
      <c r="I32" s="20"/>
      <c r="J32" s="51">
        <f t="shared" si="1"/>
        <v>0</v>
      </c>
    </row>
    <row r="33" spans="1:10" ht="16.95" customHeight="1">
      <c r="A33" s="48">
        <v>31</v>
      </c>
      <c r="B33" s="77"/>
      <c r="C33" s="32"/>
      <c r="D33" s="32"/>
      <c r="E33" s="29"/>
      <c r="F33" s="29"/>
      <c r="G33" s="29"/>
      <c r="H33" s="63"/>
      <c r="I33" s="29"/>
      <c r="J33" s="52">
        <f t="shared" si="1"/>
        <v>0</v>
      </c>
    </row>
    <row r="34" spans="1:10" ht="16.95" customHeight="1">
      <c r="A34" s="48">
        <v>32</v>
      </c>
      <c r="B34" s="77"/>
      <c r="C34" s="32"/>
      <c r="D34" s="32"/>
      <c r="E34" s="29"/>
      <c r="F34" s="29"/>
      <c r="G34" s="29"/>
      <c r="H34" s="63"/>
      <c r="I34" s="29"/>
      <c r="J34" s="52">
        <f t="shared" ref="J34:J51" si="2">SUM(E34:I34)</f>
        <v>0</v>
      </c>
    </row>
    <row r="35" spans="1:10" ht="16.95" customHeight="1">
      <c r="A35" s="48">
        <v>33</v>
      </c>
      <c r="B35" s="78"/>
      <c r="C35" s="28"/>
      <c r="D35" s="28"/>
      <c r="E35" s="29"/>
      <c r="F35" s="29"/>
      <c r="G35" s="29"/>
      <c r="H35" s="63"/>
      <c r="I35" s="29"/>
      <c r="J35" s="52">
        <f t="shared" si="2"/>
        <v>0</v>
      </c>
    </row>
    <row r="36" spans="1:10" ht="16.95" customHeight="1">
      <c r="A36" s="48">
        <v>34</v>
      </c>
      <c r="B36" s="73"/>
      <c r="C36" s="21"/>
      <c r="D36" s="21"/>
      <c r="E36" s="20"/>
      <c r="F36" s="20"/>
      <c r="G36" s="20"/>
      <c r="H36" s="63"/>
      <c r="I36" s="20"/>
      <c r="J36" s="51">
        <f t="shared" si="2"/>
        <v>0</v>
      </c>
    </row>
    <row r="37" spans="1:10" ht="16.95" customHeight="1">
      <c r="A37" s="48">
        <v>35</v>
      </c>
      <c r="B37" s="77"/>
      <c r="C37" s="32"/>
      <c r="D37" s="32"/>
      <c r="E37" s="29"/>
      <c r="F37" s="29"/>
      <c r="G37" s="29"/>
      <c r="H37" s="63"/>
      <c r="I37" s="29"/>
      <c r="J37" s="52">
        <f t="shared" si="2"/>
        <v>0</v>
      </c>
    </row>
    <row r="38" spans="1:10" ht="16.95" customHeight="1">
      <c r="A38" s="48">
        <v>36</v>
      </c>
      <c r="B38" s="77"/>
      <c r="C38" s="32"/>
      <c r="D38" s="32"/>
      <c r="E38" s="29"/>
      <c r="F38" s="29"/>
      <c r="G38" s="29"/>
      <c r="H38" s="63"/>
      <c r="I38" s="29"/>
      <c r="J38" s="52">
        <f t="shared" si="2"/>
        <v>0</v>
      </c>
    </row>
    <row r="39" spans="1:10" ht="16.95" customHeight="1">
      <c r="A39" s="48">
        <v>37</v>
      </c>
      <c r="B39" s="78"/>
      <c r="C39" s="28"/>
      <c r="D39" s="28"/>
      <c r="E39" s="29"/>
      <c r="F39" s="29"/>
      <c r="G39" s="29"/>
      <c r="H39" s="63"/>
      <c r="I39" s="29"/>
      <c r="J39" s="52">
        <f t="shared" si="2"/>
        <v>0</v>
      </c>
    </row>
    <row r="40" spans="1:10" ht="16.95" customHeight="1">
      <c r="A40" s="48">
        <v>38</v>
      </c>
      <c r="B40" s="73"/>
      <c r="C40" s="21"/>
      <c r="D40" s="21"/>
      <c r="E40" s="20"/>
      <c r="F40" s="20"/>
      <c r="G40" s="20"/>
      <c r="H40" s="63"/>
      <c r="I40" s="20"/>
      <c r="J40" s="51">
        <f t="shared" si="2"/>
        <v>0</v>
      </c>
    </row>
    <row r="41" spans="1:10" ht="16.95" customHeight="1">
      <c r="A41" s="48">
        <v>39</v>
      </c>
      <c r="B41" s="77"/>
      <c r="C41" s="32"/>
      <c r="D41" s="32"/>
      <c r="E41" s="29"/>
      <c r="F41" s="29"/>
      <c r="G41" s="29"/>
      <c r="H41" s="63"/>
      <c r="I41" s="29"/>
      <c r="J41" s="52">
        <f t="shared" si="2"/>
        <v>0</v>
      </c>
    </row>
    <row r="42" spans="1:10" ht="16.95" customHeight="1">
      <c r="A42" s="48">
        <v>40</v>
      </c>
      <c r="B42" s="77"/>
      <c r="C42" s="32"/>
      <c r="D42" s="32"/>
      <c r="E42" s="29"/>
      <c r="F42" s="29"/>
      <c r="G42" s="29"/>
      <c r="H42" s="63"/>
      <c r="I42" s="29"/>
      <c r="J42" s="52">
        <f t="shared" si="2"/>
        <v>0</v>
      </c>
    </row>
    <row r="43" spans="1:10" ht="16.95" customHeight="1">
      <c r="A43" s="48">
        <v>41</v>
      </c>
      <c r="B43" s="78"/>
      <c r="C43" s="28"/>
      <c r="D43" s="28"/>
      <c r="E43" s="29"/>
      <c r="F43" s="29"/>
      <c r="G43" s="29"/>
      <c r="H43" s="63"/>
      <c r="I43" s="29"/>
      <c r="J43" s="52">
        <f t="shared" si="2"/>
        <v>0</v>
      </c>
    </row>
    <row r="44" spans="1:10" ht="16.95" customHeight="1">
      <c r="A44" s="48">
        <v>42</v>
      </c>
      <c r="B44" s="73"/>
      <c r="C44" s="21"/>
      <c r="D44" s="21"/>
      <c r="E44" s="20"/>
      <c r="F44" s="20"/>
      <c r="G44" s="20"/>
      <c r="H44" s="63"/>
      <c r="I44" s="20"/>
      <c r="J44" s="51">
        <f t="shared" si="2"/>
        <v>0</v>
      </c>
    </row>
    <row r="45" spans="1:10" ht="16.95" customHeight="1">
      <c r="A45" s="48">
        <v>43</v>
      </c>
      <c r="B45" s="77"/>
      <c r="C45" s="32"/>
      <c r="D45" s="32"/>
      <c r="E45" s="29"/>
      <c r="F45" s="29"/>
      <c r="G45" s="29"/>
      <c r="H45" s="63"/>
      <c r="I45" s="29"/>
      <c r="J45" s="52">
        <f t="shared" si="2"/>
        <v>0</v>
      </c>
    </row>
    <row r="46" spans="1:10" ht="16.95" customHeight="1">
      <c r="A46" s="48">
        <v>44</v>
      </c>
      <c r="B46" s="77"/>
      <c r="C46" s="32"/>
      <c r="D46" s="32"/>
      <c r="E46" s="29"/>
      <c r="F46" s="29"/>
      <c r="G46" s="29"/>
      <c r="H46" s="63"/>
      <c r="I46" s="29"/>
      <c r="J46" s="52">
        <f t="shared" si="2"/>
        <v>0</v>
      </c>
    </row>
    <row r="47" spans="1:10" ht="16.95" customHeight="1">
      <c r="A47" s="48">
        <v>45</v>
      </c>
      <c r="B47" s="78"/>
      <c r="C47" s="28"/>
      <c r="D47" s="28"/>
      <c r="E47" s="29"/>
      <c r="F47" s="29"/>
      <c r="G47" s="29"/>
      <c r="H47" s="63"/>
      <c r="I47" s="29"/>
      <c r="J47" s="52">
        <f t="shared" si="2"/>
        <v>0</v>
      </c>
    </row>
    <row r="48" spans="1:10" ht="16.95" customHeight="1">
      <c r="A48" s="48">
        <v>46</v>
      </c>
      <c r="B48" s="77"/>
      <c r="C48" s="32"/>
      <c r="D48" s="32"/>
      <c r="E48" s="29"/>
      <c r="F48" s="29"/>
      <c r="G48" s="29"/>
      <c r="H48" s="63"/>
      <c r="I48" s="29"/>
      <c r="J48" s="52">
        <f t="shared" si="2"/>
        <v>0</v>
      </c>
    </row>
    <row r="49" spans="1:10" ht="16.95" customHeight="1">
      <c r="A49" s="48">
        <v>47</v>
      </c>
      <c r="B49" s="78"/>
      <c r="C49" s="28"/>
      <c r="D49" s="28"/>
      <c r="E49" s="29"/>
      <c r="F49" s="29"/>
      <c r="G49" s="29"/>
      <c r="H49" s="63"/>
      <c r="I49" s="29"/>
      <c r="J49" s="52">
        <f t="shared" si="2"/>
        <v>0</v>
      </c>
    </row>
    <row r="50" spans="1:10" ht="16.95" customHeight="1">
      <c r="A50" s="48">
        <v>48</v>
      </c>
      <c r="B50" s="73"/>
      <c r="C50" s="21"/>
      <c r="D50" s="21"/>
      <c r="E50" s="20"/>
      <c r="F50" s="20"/>
      <c r="G50" s="20"/>
      <c r="H50" s="63"/>
      <c r="I50" s="20"/>
      <c r="J50" s="51">
        <f t="shared" si="2"/>
        <v>0</v>
      </c>
    </row>
    <row r="51" spans="1:10" ht="16.95" customHeight="1">
      <c r="A51" s="48">
        <v>49</v>
      </c>
      <c r="B51" s="77"/>
      <c r="C51" s="32"/>
      <c r="D51" s="32"/>
      <c r="E51" s="29"/>
      <c r="F51" s="29"/>
      <c r="G51" s="29"/>
      <c r="H51" s="63"/>
      <c r="I51" s="29"/>
      <c r="J51" s="52">
        <f t="shared" si="2"/>
        <v>0</v>
      </c>
    </row>
    <row r="52" spans="1:10" ht="16.95" customHeight="1">
      <c r="A52" s="48">
        <v>50</v>
      </c>
    </row>
  </sheetData>
  <sheetProtection algorithmName="SHA-512" hashValue="eXi2DUZOJpAr4fnsowjBFT0e2M6Bb8Q7nsbciPglYzsWxfUaSnRlT0jrTgn74vXMG1ZN27zW50liFhrNtCdt5g==" saltValue="bjbiW6xfeMfkThIHC8q5ZQ==" spinCount="100000" sheet="1" formatColumns="0" selectLockedCells="1" sort="0" autoFilter="0"/>
  <sortState xmlns:xlrd2="http://schemas.microsoft.com/office/spreadsheetml/2017/richdata2" ref="B4:J11">
    <sortCondition descending="1" ref="J4:J11"/>
  </sortState>
  <mergeCells count="5">
    <mergeCell ref="A1:J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SUMIF('Over 40 CUP'!C4:C48,"ACCR",'Over 40 CUP'!J4:J48)</f>
        <v>70</v>
      </c>
    </row>
    <row r="4" spans="1:2" ht="13.95" customHeight="1">
      <c r="A4" s="13" t="s">
        <v>14</v>
      </c>
      <c r="B4" s="13">
        <f>SUMIF('Over 40 CUP'!C4:C48,"ACU",'Over 40 CUP'!J4:J48)</f>
        <v>300</v>
      </c>
    </row>
    <row r="5" spans="1:2" ht="13.95" customHeight="1">
      <c r="A5" s="13" t="s">
        <v>37</v>
      </c>
      <c r="B5" s="13">
        <f>SUMIF('Over 40 CUP'!C4:C48,"AMA",'Over 40 CUP'!J4:J48)</f>
        <v>0</v>
      </c>
    </row>
    <row r="6" spans="1:2" ht="13.95" customHeight="1">
      <c r="A6" s="13" t="s">
        <v>38</v>
      </c>
      <c r="B6" s="13">
        <f>SUMIF('Over 40 CUP'!C4:C48,"AMOTOE",'Over 40 CUP'!J4:J48)</f>
        <v>0</v>
      </c>
    </row>
    <row r="7" spans="1:2" ht="13.95" customHeight="1">
      <c r="A7" s="13" t="s">
        <v>60</v>
      </c>
      <c r="B7" s="13">
        <f>SUMIF('Over 40 CUP'!C4:C48,"AMZS",'Over 40 CUP'!J4:J48)</f>
        <v>0</v>
      </c>
    </row>
    <row r="8" spans="1:2" ht="13.95" customHeight="1">
      <c r="A8" s="13" t="s">
        <v>39</v>
      </c>
      <c r="B8" s="13">
        <f>SUMIF('Over 40 CUP'!C4:C48,"BFMS",'Over 40 CUP'!J4:J48)</f>
        <v>0</v>
      </c>
    </row>
    <row r="9" spans="1:2" ht="13.95" customHeight="1">
      <c r="A9" s="13" t="s">
        <v>40</v>
      </c>
      <c r="B9" s="14">
        <f>SUMIF('Over 40 CUP'!C4:C48,"BIHAMK",'Over 40 CUP'!J4:J48)</f>
        <v>0</v>
      </c>
    </row>
    <row r="10" spans="1:2" ht="13.95" customHeight="1">
      <c r="A10" s="13" t="s">
        <v>41</v>
      </c>
      <c r="B10" s="13">
        <f>SUMIF('Over 40 CUP'!C4:C48,"BMF",'Over 40 CUP'!J4:J48)</f>
        <v>0</v>
      </c>
    </row>
    <row r="11" spans="1:2" ht="13.95" customHeight="1">
      <c r="A11" s="13" t="s">
        <v>42</v>
      </c>
      <c r="B11" s="13">
        <f>SUMIF('Over 40 CUP'!C4:C48,"CMA",'Over 40 CUP'!J4:J48)</f>
        <v>0</v>
      </c>
    </row>
    <row r="12" spans="1:2" ht="13.5" customHeight="1">
      <c r="A12" s="13" t="s">
        <v>25</v>
      </c>
      <c r="B12" s="13">
        <f>SUMIF('Over 40 CUP'!C4:C48,"CTMSA",'Over 40 CUP'!J4:J48)</f>
        <v>0</v>
      </c>
    </row>
    <row r="13" spans="1:2" ht="13.5" customHeight="1">
      <c r="A13" s="13" t="s">
        <v>43</v>
      </c>
      <c r="B13" s="13">
        <f>SUMIF('Over 40 CUP'!C4:C48,"CYMF",'Over 40 CUP'!J4:J48)</f>
        <v>0</v>
      </c>
    </row>
    <row r="14" spans="1:2" ht="13.5" customHeight="1">
      <c r="A14" s="13" t="s">
        <v>11</v>
      </c>
      <c r="B14" s="13">
        <f>SUMIF('Over 40 CUP'!C4:C48,"DMSB",'Over 40 CUP'!J4:J48)</f>
        <v>155</v>
      </c>
    </row>
    <row r="15" spans="1:2" ht="13.5" customHeight="1">
      <c r="A15" s="13" t="s">
        <v>23</v>
      </c>
      <c r="B15" s="13">
        <f>SUMIF('Over 40 CUP'!C4:C48,"DMU",'Over 40 CUP'!J4:J48)</f>
        <v>105</v>
      </c>
    </row>
    <row r="16" spans="1:2" ht="13.5" customHeight="1">
      <c r="A16" s="13" t="s">
        <v>22</v>
      </c>
      <c r="B16" s="13">
        <f>SUMIF('Over 40 CUP'!C4:C48,"EMF",'Over 40 CUP'!J4:J48)</f>
        <v>0</v>
      </c>
    </row>
    <row r="17" spans="1:2" ht="13.5" customHeight="1">
      <c r="A17" s="13" t="s">
        <v>16</v>
      </c>
      <c r="B17" s="13">
        <f>SUMIF('Over 40 CUP'!C4:C48,"FFM",'Over 40 CUP'!J4:J48)</f>
        <v>0</v>
      </c>
    </row>
    <row r="18" spans="1:2" ht="13.5" customHeight="1">
      <c r="A18" s="13" t="s">
        <v>44</v>
      </c>
      <c r="B18" s="13">
        <f>SUMIF('Over 40 CUP'!C4:C48,"FMA",'Over 40 CUP'!J4:J48)</f>
        <v>0</v>
      </c>
    </row>
    <row r="19" spans="1:2" ht="13.5" customHeight="1">
      <c r="A19" s="13" t="s">
        <v>20</v>
      </c>
      <c r="B19" s="13">
        <f>SUMIF('Over 40 CUP'!C4:C48,"FMB",'Over 40 CUP'!J4:J48)</f>
        <v>0</v>
      </c>
    </row>
    <row r="20" spans="1:2" ht="13.5" customHeight="1">
      <c r="A20" s="13" t="s">
        <v>7</v>
      </c>
      <c r="B20" s="13">
        <f>SUMIF('Over 40 CUP'!C4:C48,"FMI",'Over 40 CUP'!J4:J48)</f>
        <v>0</v>
      </c>
    </row>
    <row r="21" spans="1:2" ht="13.5" customHeight="1">
      <c r="A21" s="13" t="s">
        <v>45</v>
      </c>
      <c r="B21" s="13">
        <f>SUMIF('Over 40 CUP'!C4:C48,"FMP",'Over 40 CUP'!J4:J48)</f>
        <v>0</v>
      </c>
    </row>
    <row r="22" spans="1:2" ht="13.5" customHeight="1">
      <c r="A22" s="13" t="s">
        <v>46</v>
      </c>
      <c r="B22" s="13">
        <f>SUMIF('Over 40 CUP'!C4:C48,"FMRM",'Over 40 CUP'!J4:J48)</f>
        <v>0</v>
      </c>
    </row>
    <row r="23" spans="1:2" ht="13.5" customHeight="1">
      <c r="A23" s="13" t="s">
        <v>47</v>
      </c>
      <c r="B23" s="13">
        <f>SUMIF('Over 40 CUP'!C4:C48,"FMS",'Over 40 CUP'!J4:J48)</f>
        <v>0</v>
      </c>
    </row>
    <row r="24" spans="1:2" ht="13.5" customHeight="1">
      <c r="A24" s="13" t="s">
        <v>48</v>
      </c>
      <c r="B24" s="13">
        <f>SUMIF('Over 40 CUP'!C4:C48,"FMU",'Over 40 CUP'!J4:J48)</f>
        <v>0</v>
      </c>
    </row>
    <row r="25" spans="1:2" ht="13.5" customHeight="1">
      <c r="A25" s="13" t="s">
        <v>49</v>
      </c>
      <c r="B25" s="13">
        <f>SUMIF('Over 40 CUP'!C4:C48,"FRM",'Over 40 CUP'!J4:J48)</f>
        <v>0</v>
      </c>
    </row>
    <row r="26" spans="1:2" ht="13.5" customHeight="1">
      <c r="A26" s="13" t="s">
        <v>17</v>
      </c>
      <c r="B26" s="13">
        <f>SUMIF('Over 40 CUP'!C4:C48,"KNMV",'Over 40 CUP'!J4:J48)</f>
        <v>0</v>
      </c>
    </row>
    <row r="27" spans="1:2" ht="13.5" customHeight="1">
      <c r="A27" s="13" t="s">
        <v>61</v>
      </c>
      <c r="B27" s="13">
        <f>SUMIF('Over 40 CUP'!C4:C48,"LaMSF",'Over 40 CUP'!J4:J48)</f>
        <v>0</v>
      </c>
    </row>
    <row r="28" spans="1:2" ht="13.5" customHeight="1">
      <c r="A28" s="13" t="s">
        <v>50</v>
      </c>
      <c r="B28" s="13">
        <f>SUMIF('Over 40 CUP'!C4:C48,"LMSF",'Over 40 CUP'!J4:J48)</f>
        <v>0</v>
      </c>
    </row>
    <row r="29" spans="1:2" ht="13.5" customHeight="1">
      <c r="A29" s="13" t="s">
        <v>24</v>
      </c>
      <c r="B29" s="13">
        <f>SUMIF('Over 40 CUP'!C4:C48,"MA",'Over 40 CUP'!J4:J48)</f>
        <v>0</v>
      </c>
    </row>
    <row r="30" spans="1:2" ht="13.5" customHeight="1">
      <c r="A30" s="13" t="s">
        <v>51</v>
      </c>
      <c r="B30" s="13">
        <f>SUMIF('Over 40 CUP'!C4:C48,"MAMS",'Over 40 CUP'!J4:J48)</f>
        <v>0</v>
      </c>
    </row>
    <row r="31" spans="1:2" ht="13.5" customHeight="1">
      <c r="A31" s="13" t="s">
        <v>52</v>
      </c>
      <c r="B31" s="13">
        <f>SUMIF('Over 40 CUP'!C4:C48,"MCM",'Over 40 CUP'!J4:J48)</f>
        <v>0</v>
      </c>
    </row>
    <row r="32" spans="1:2" ht="13.5" customHeight="1">
      <c r="A32" s="13" t="s">
        <v>53</v>
      </c>
      <c r="B32" s="13">
        <f>SUMIF('Over 40 CUP'!C4:C48,"MCUI",'Over 40 CUP'!J4:J48)</f>
        <v>0</v>
      </c>
    </row>
    <row r="33" spans="1:2" ht="13.5" customHeight="1">
      <c r="A33" s="13" t="s">
        <v>54</v>
      </c>
      <c r="B33" s="13">
        <f>SUMIF('Over 40 CUP'!C4:C48,"FMJ",'Over 40 CUP'!J4:J48)</f>
        <v>0</v>
      </c>
    </row>
    <row r="34" spans="1:2" ht="13.5" customHeight="1">
      <c r="A34" s="13" t="s">
        <v>55</v>
      </c>
      <c r="B34" s="13">
        <f>SUMIF('Over 40 CUP'!C4:C48,"MFR",'Over 40 CUP'!J4:J48)</f>
        <v>0</v>
      </c>
    </row>
    <row r="35" spans="1:2" ht="13.5" customHeight="1">
      <c r="A35" s="13" t="s">
        <v>56</v>
      </c>
      <c r="B35" s="13">
        <f>SUMIF('Over 40 CUP'!C4:C48,"MSI",'Over 40 CUP'!J4:J48)</f>
        <v>0</v>
      </c>
    </row>
    <row r="36" spans="1:2" ht="13.5" customHeight="1">
      <c r="A36" s="13" t="s">
        <v>57</v>
      </c>
      <c r="B36" s="13">
        <f>SUMIF('Over 40 CUP'!C4:C48,"MUL",'Over 40 CUP'!J4:J48)</f>
        <v>0</v>
      </c>
    </row>
    <row r="37" spans="1:2" ht="13.5" customHeight="1">
      <c r="A37" s="13" t="s">
        <v>10</v>
      </c>
      <c r="B37" s="13">
        <f>SUMIF('Over 40 CUP'!C4:C48,"NMF",'Over 40 CUP'!J4:J48)</f>
        <v>0</v>
      </c>
    </row>
    <row r="38" spans="1:2" ht="13.5" customHeight="1">
      <c r="A38" s="13" t="s">
        <v>62</v>
      </c>
      <c r="B38" s="13">
        <f>SUMIF('Over 40 CUP'!C4:C48,"AMF",'Over 40 CUP'!J4:J48)</f>
        <v>0</v>
      </c>
    </row>
    <row r="39" spans="1:2" ht="13.5" customHeight="1">
      <c r="A39" s="13" t="s">
        <v>12</v>
      </c>
      <c r="B39" s="13">
        <f>SUMIF('Over 40 CUP'!C4:C48,"PZM",'Over 40 CUP'!J4:J48)</f>
        <v>0</v>
      </c>
    </row>
    <row r="40" spans="1:2" ht="13.5" customHeight="1">
      <c r="A40" s="13" t="s">
        <v>8</v>
      </c>
      <c r="B40" s="13">
        <f>SUMIF('Over 40 CUP'!C4:C48,"RFME",'Over 40 CUP'!J4:J48)</f>
        <v>145</v>
      </c>
    </row>
    <row r="41" spans="1:2" ht="13.5" customHeight="1">
      <c r="A41" s="13" t="s">
        <v>19</v>
      </c>
      <c r="B41" s="13">
        <f>SUMIF('Over 40 CUP'!C4:C48,"SMF",'Over 40 CUP'!J4:J48)</f>
        <v>0</v>
      </c>
    </row>
    <row r="42" spans="1:2" ht="13.5" customHeight="1">
      <c r="A42" s="13" t="s">
        <v>15</v>
      </c>
      <c r="B42" s="13">
        <f>SUMIF('Over 40 CUP'!C4:C48,"SML",'Over 40 CUP'!J4:J48)</f>
        <v>260</v>
      </c>
    </row>
    <row r="43" spans="1:2" ht="13.5" customHeight="1">
      <c r="A43" s="13" t="s">
        <v>6</v>
      </c>
      <c r="B43" s="13">
        <f>SUMIF('Over 40 CUP'!C4:C48,"SVEMO",'Over 40 CUP'!J4:J48)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58"/>
  <sheetViews>
    <sheetView showGridLines="0" zoomScale="125" zoomScaleNormal="125" workbookViewId="0">
      <selection activeCell="B7" sqref="B7"/>
    </sheetView>
  </sheetViews>
  <sheetFormatPr defaultColWidth="4.15234375" defaultRowHeight="13.5" customHeight="1"/>
  <cols>
    <col min="1" max="1" width="4.15234375" style="13" customWidth="1"/>
    <col min="2" max="2" width="23.3828125" style="13" customWidth="1"/>
    <col min="3" max="3" width="6.61328125" style="13" customWidth="1"/>
    <col min="4" max="4" width="7.61328125" style="13" customWidth="1"/>
    <col min="5" max="5" width="9.69140625" style="13" customWidth="1"/>
    <col min="6" max="6" width="9.4609375" style="13" customWidth="1"/>
    <col min="7" max="8" width="9.61328125" style="13" customWidth="1"/>
    <col min="9" max="9" width="9.4609375" style="13" customWidth="1"/>
    <col min="10" max="10" width="9.69140625" style="13" hidden="1" customWidth="1"/>
    <col min="11" max="11" width="4.84375" style="13" customWidth="1"/>
    <col min="12" max="12" width="5" style="13" customWidth="1"/>
    <col min="13" max="256" width="4.15234375" style="13" customWidth="1"/>
    <col min="257" max="16384" width="4.15234375" style="1"/>
  </cols>
  <sheetData>
    <row r="1" spans="1:12" ht="35.549999999999997" customHeight="1">
      <c r="A1" s="127" t="s">
        <v>70</v>
      </c>
      <c r="B1" s="128"/>
      <c r="C1" s="128"/>
      <c r="D1" s="128"/>
      <c r="E1" s="128"/>
      <c r="F1" s="128"/>
      <c r="G1" s="128"/>
      <c r="H1" s="111"/>
      <c r="I1" s="128"/>
      <c r="J1" s="128"/>
    </row>
    <row r="2" spans="1:12" ht="24.75" customHeight="1">
      <c r="A2" s="129" t="s">
        <v>1</v>
      </c>
      <c r="B2" s="53" t="s">
        <v>2</v>
      </c>
      <c r="C2" s="53" t="s">
        <v>3</v>
      </c>
      <c r="D2" s="53" t="s">
        <v>4</v>
      </c>
      <c r="E2" s="101">
        <v>44661</v>
      </c>
      <c r="F2" s="101">
        <v>44668</v>
      </c>
      <c r="G2" s="101">
        <v>44780</v>
      </c>
      <c r="H2" s="101">
        <v>44787</v>
      </c>
      <c r="I2" s="101">
        <v>44815</v>
      </c>
      <c r="J2" s="54"/>
    </row>
    <row r="3" spans="1:12" ht="33" customHeight="1">
      <c r="A3" s="130"/>
      <c r="B3" s="55"/>
      <c r="C3" s="55"/>
      <c r="D3" s="55"/>
      <c r="E3" s="102" t="s">
        <v>63</v>
      </c>
      <c r="F3" s="102" t="s">
        <v>64</v>
      </c>
      <c r="G3" s="102" t="s">
        <v>65</v>
      </c>
      <c r="H3" s="102" t="s">
        <v>205</v>
      </c>
      <c r="I3" s="102" t="s">
        <v>66</v>
      </c>
      <c r="J3" s="54" t="s">
        <v>5</v>
      </c>
    </row>
    <row r="4" spans="1:12" ht="16.95" customHeight="1">
      <c r="A4" s="56">
        <v>1</v>
      </c>
      <c r="B4" s="75" t="s">
        <v>124</v>
      </c>
      <c r="C4" s="89" t="s">
        <v>14</v>
      </c>
      <c r="D4" s="89" t="s">
        <v>102</v>
      </c>
      <c r="E4" s="63">
        <v>70</v>
      </c>
      <c r="F4" s="29">
        <v>85</v>
      </c>
      <c r="G4" s="42">
        <v>100</v>
      </c>
      <c r="H4" s="63"/>
      <c r="I4" s="29"/>
      <c r="J4" s="16">
        <f>SUM(E4:I4)</f>
        <v>255</v>
      </c>
    </row>
    <row r="5" spans="1:12" ht="16.95" customHeight="1">
      <c r="A5" s="56">
        <v>2</v>
      </c>
      <c r="B5" s="75" t="s">
        <v>166</v>
      </c>
      <c r="C5" s="89" t="s">
        <v>8</v>
      </c>
      <c r="D5" s="89" t="s">
        <v>84</v>
      </c>
      <c r="E5" s="63">
        <v>35</v>
      </c>
      <c r="F5" s="29"/>
      <c r="G5" s="42"/>
      <c r="H5" s="63"/>
      <c r="I5" s="29"/>
      <c r="J5" s="16">
        <f>SUM(E5:I5)</f>
        <v>35</v>
      </c>
    </row>
    <row r="6" spans="1:12" ht="16.95" customHeight="1">
      <c r="A6" s="56">
        <v>3</v>
      </c>
      <c r="B6" s="79" t="s">
        <v>126</v>
      </c>
      <c r="C6" s="89" t="s">
        <v>8</v>
      </c>
      <c r="D6" s="89" t="s">
        <v>114</v>
      </c>
      <c r="E6" s="63">
        <v>100</v>
      </c>
      <c r="F6" s="29"/>
      <c r="G6" s="42"/>
      <c r="H6" s="63"/>
      <c r="I6" s="29"/>
      <c r="J6" s="16">
        <f t="shared" ref="J6:J33" si="0">SUM(E6:I6)</f>
        <v>100</v>
      </c>
      <c r="L6" s="14"/>
    </row>
    <row r="7" spans="1:12" ht="16.95" customHeight="1">
      <c r="A7" s="56">
        <v>4</v>
      </c>
      <c r="B7" s="79" t="s">
        <v>197</v>
      </c>
      <c r="C7" s="89" t="s">
        <v>14</v>
      </c>
      <c r="D7" s="89" t="s">
        <v>99</v>
      </c>
      <c r="E7" s="63"/>
      <c r="F7" s="29"/>
      <c r="G7" s="42">
        <v>35</v>
      </c>
      <c r="H7" s="63"/>
      <c r="I7" s="29"/>
      <c r="J7" s="16">
        <f t="shared" si="0"/>
        <v>35</v>
      </c>
    </row>
    <row r="8" spans="1:12" ht="16.95" customHeight="1">
      <c r="A8" s="56">
        <v>5</v>
      </c>
      <c r="B8" s="79" t="s">
        <v>175</v>
      </c>
      <c r="C8" s="89" t="s">
        <v>17</v>
      </c>
      <c r="D8" s="89" t="s">
        <v>84</v>
      </c>
      <c r="E8" s="63"/>
      <c r="F8" s="29">
        <v>40</v>
      </c>
      <c r="G8" s="42"/>
      <c r="H8" s="63"/>
      <c r="I8" s="29"/>
      <c r="J8" s="16">
        <f t="shared" si="0"/>
        <v>40</v>
      </c>
    </row>
    <row r="9" spans="1:12" ht="16.95" customHeight="1">
      <c r="A9" s="56">
        <v>6</v>
      </c>
      <c r="B9" s="79" t="s">
        <v>188</v>
      </c>
      <c r="C9" s="89" t="s">
        <v>20</v>
      </c>
      <c r="D9" s="89" t="s">
        <v>84</v>
      </c>
      <c r="E9" s="63"/>
      <c r="F9" s="29">
        <v>45</v>
      </c>
      <c r="G9" s="42"/>
      <c r="H9" s="63"/>
      <c r="I9" s="29"/>
      <c r="J9" s="16">
        <f t="shared" si="0"/>
        <v>45</v>
      </c>
    </row>
    <row r="10" spans="1:12" ht="16.95" customHeight="1">
      <c r="A10" s="56">
        <v>7</v>
      </c>
      <c r="B10" s="79" t="s">
        <v>125</v>
      </c>
      <c r="C10" s="89" t="s">
        <v>8</v>
      </c>
      <c r="D10" s="89" t="s">
        <v>82</v>
      </c>
      <c r="E10" s="63">
        <v>85</v>
      </c>
      <c r="F10" s="29"/>
      <c r="G10" s="42"/>
      <c r="H10" s="63"/>
      <c r="I10" s="29"/>
      <c r="J10" s="16">
        <f t="shared" si="0"/>
        <v>85</v>
      </c>
    </row>
    <row r="11" spans="1:12" ht="16.95" customHeight="1">
      <c r="A11" s="56">
        <v>8</v>
      </c>
      <c r="B11" s="80" t="s">
        <v>128</v>
      </c>
      <c r="C11" s="89" t="s">
        <v>8</v>
      </c>
      <c r="D11" s="89" t="s">
        <v>84</v>
      </c>
      <c r="E11" s="63">
        <v>40</v>
      </c>
      <c r="F11" s="29"/>
      <c r="G11" s="42"/>
      <c r="H11" s="63"/>
      <c r="I11" s="29"/>
      <c r="J11" s="16">
        <f t="shared" si="0"/>
        <v>40</v>
      </c>
      <c r="L11" s="14"/>
    </row>
    <row r="12" spans="1:12" ht="16.95" customHeight="1">
      <c r="A12" s="56">
        <v>9</v>
      </c>
      <c r="B12" s="79" t="s">
        <v>122</v>
      </c>
      <c r="C12" s="89" t="s">
        <v>17</v>
      </c>
      <c r="D12" s="89" t="s">
        <v>123</v>
      </c>
      <c r="E12" s="63">
        <v>50</v>
      </c>
      <c r="F12" s="29">
        <v>70</v>
      </c>
      <c r="G12" s="42">
        <v>40</v>
      </c>
      <c r="H12" s="63"/>
      <c r="I12" s="29"/>
      <c r="J12" s="16">
        <f t="shared" si="0"/>
        <v>160</v>
      </c>
    </row>
    <row r="13" spans="1:12" ht="16.95" customHeight="1">
      <c r="A13" s="56">
        <v>10</v>
      </c>
      <c r="B13" s="79" t="s">
        <v>206</v>
      </c>
      <c r="C13" s="89" t="s">
        <v>14</v>
      </c>
      <c r="D13" s="89" t="s">
        <v>84</v>
      </c>
      <c r="E13" s="63"/>
      <c r="F13" s="29"/>
      <c r="G13" s="42">
        <v>85</v>
      </c>
      <c r="H13" s="63"/>
      <c r="I13" s="29"/>
      <c r="J13" s="16">
        <f t="shared" si="0"/>
        <v>85</v>
      </c>
    </row>
    <row r="14" spans="1:12" ht="16.95" customHeight="1">
      <c r="A14" s="56">
        <v>11</v>
      </c>
      <c r="B14" s="75" t="s">
        <v>165</v>
      </c>
      <c r="C14" s="98" t="s">
        <v>22</v>
      </c>
      <c r="D14" s="98" t="s">
        <v>102</v>
      </c>
      <c r="E14" s="15">
        <v>45</v>
      </c>
      <c r="F14" s="15">
        <v>100</v>
      </c>
      <c r="G14" s="15"/>
      <c r="H14" s="63"/>
      <c r="I14" s="15"/>
      <c r="J14" s="16">
        <f t="shared" si="0"/>
        <v>145</v>
      </c>
    </row>
    <row r="15" spans="1:12" ht="16.95" customHeight="1">
      <c r="A15" s="56">
        <v>12</v>
      </c>
      <c r="B15" s="79" t="s">
        <v>171</v>
      </c>
      <c r="C15" s="98" t="s">
        <v>10</v>
      </c>
      <c r="D15" s="98" t="s">
        <v>84</v>
      </c>
      <c r="E15" s="15"/>
      <c r="F15" s="15">
        <v>60</v>
      </c>
      <c r="G15" s="15"/>
      <c r="H15" s="63"/>
      <c r="I15" s="15"/>
      <c r="J15" s="16">
        <f t="shared" si="0"/>
        <v>60</v>
      </c>
    </row>
    <row r="16" spans="1:12" ht="16.95" customHeight="1">
      <c r="A16" s="56">
        <v>13</v>
      </c>
      <c r="B16" s="79" t="s">
        <v>207</v>
      </c>
      <c r="C16" s="98" t="s">
        <v>14</v>
      </c>
      <c r="D16" s="98" t="s">
        <v>123</v>
      </c>
      <c r="E16" s="15"/>
      <c r="F16" s="15"/>
      <c r="G16" s="15">
        <v>45</v>
      </c>
      <c r="H16" s="63"/>
      <c r="I16" s="15"/>
      <c r="J16" s="16">
        <f t="shared" si="0"/>
        <v>45</v>
      </c>
    </row>
    <row r="17" spans="1:10" ht="16.95" customHeight="1">
      <c r="A17" s="56">
        <v>14</v>
      </c>
      <c r="B17" s="79" t="s">
        <v>198</v>
      </c>
      <c r="C17" s="98" t="s">
        <v>14</v>
      </c>
      <c r="D17" s="98" t="s">
        <v>79</v>
      </c>
      <c r="E17" s="15"/>
      <c r="F17" s="15"/>
      <c r="G17" s="15">
        <v>70</v>
      </c>
      <c r="H17" s="63"/>
      <c r="I17" s="15"/>
      <c r="J17" s="16">
        <f t="shared" si="0"/>
        <v>70</v>
      </c>
    </row>
    <row r="18" spans="1:10" ht="16.95" customHeight="1">
      <c r="A18" s="56">
        <v>15</v>
      </c>
      <c r="B18" s="79" t="s">
        <v>129</v>
      </c>
      <c r="C18" s="98" t="s">
        <v>14</v>
      </c>
      <c r="D18" s="98" t="s">
        <v>79</v>
      </c>
      <c r="E18" s="15">
        <v>55</v>
      </c>
      <c r="F18" s="15"/>
      <c r="G18" s="15">
        <v>60</v>
      </c>
      <c r="H18" s="63"/>
      <c r="I18" s="15"/>
      <c r="J18" s="16">
        <f t="shared" si="0"/>
        <v>115</v>
      </c>
    </row>
    <row r="19" spans="1:10" ht="16.95" customHeight="1">
      <c r="A19" s="56">
        <v>16</v>
      </c>
      <c r="B19" s="79" t="s">
        <v>209</v>
      </c>
      <c r="C19" s="98" t="s">
        <v>14</v>
      </c>
      <c r="D19" s="98" t="s">
        <v>102</v>
      </c>
      <c r="E19" s="15"/>
      <c r="F19" s="15"/>
      <c r="G19" s="15">
        <v>25</v>
      </c>
      <c r="H19" s="63"/>
      <c r="I19" s="15"/>
      <c r="J19" s="16">
        <f t="shared" si="0"/>
        <v>25</v>
      </c>
    </row>
    <row r="20" spans="1:10" ht="16.95" customHeight="1">
      <c r="A20" s="56">
        <v>17</v>
      </c>
      <c r="B20" s="79" t="s">
        <v>208</v>
      </c>
      <c r="C20" s="98" t="s">
        <v>14</v>
      </c>
      <c r="D20" s="98" t="s">
        <v>79</v>
      </c>
      <c r="E20" s="15"/>
      <c r="F20" s="15"/>
      <c r="G20" s="15">
        <v>30</v>
      </c>
      <c r="H20" s="63"/>
      <c r="I20" s="15"/>
      <c r="J20" s="16">
        <f t="shared" si="0"/>
        <v>30</v>
      </c>
    </row>
    <row r="21" spans="1:10" ht="16.95" customHeight="1">
      <c r="A21" s="56">
        <v>18</v>
      </c>
      <c r="B21" s="80" t="s">
        <v>130</v>
      </c>
      <c r="C21" s="98" t="s">
        <v>23</v>
      </c>
      <c r="D21" s="98" t="s">
        <v>82</v>
      </c>
      <c r="E21" s="15"/>
      <c r="F21" s="15">
        <v>50</v>
      </c>
      <c r="G21" s="15"/>
      <c r="H21" s="63"/>
      <c r="I21" s="15"/>
      <c r="J21" s="16">
        <f t="shared" si="0"/>
        <v>50</v>
      </c>
    </row>
    <row r="22" spans="1:10" ht="16.95" customHeight="1">
      <c r="A22" s="56">
        <v>19</v>
      </c>
      <c r="B22" s="79" t="s">
        <v>127</v>
      </c>
      <c r="C22" s="98" t="s">
        <v>9</v>
      </c>
      <c r="D22" s="98" t="s">
        <v>102</v>
      </c>
      <c r="E22" s="15">
        <v>60</v>
      </c>
      <c r="F22" s="15">
        <v>55</v>
      </c>
      <c r="G22" s="15">
        <v>55</v>
      </c>
      <c r="H22" s="63"/>
      <c r="I22" s="15"/>
      <c r="J22" s="16">
        <f t="shared" si="0"/>
        <v>170</v>
      </c>
    </row>
    <row r="23" spans="1:10" ht="16.95" customHeight="1">
      <c r="A23" s="56">
        <v>20</v>
      </c>
      <c r="B23" s="79" t="s">
        <v>196</v>
      </c>
      <c r="C23" s="98" t="s">
        <v>14</v>
      </c>
      <c r="D23" s="98" t="s">
        <v>84</v>
      </c>
      <c r="E23" s="15"/>
      <c r="F23" s="15"/>
      <c r="G23" s="15">
        <v>50</v>
      </c>
      <c r="H23" s="63"/>
      <c r="I23" s="15"/>
      <c r="J23" s="16">
        <f t="shared" si="0"/>
        <v>50</v>
      </c>
    </row>
    <row r="24" spans="1:10" ht="16.95" customHeight="1">
      <c r="A24" s="56">
        <v>21</v>
      </c>
      <c r="B24" s="79"/>
      <c r="C24" s="98"/>
      <c r="D24" s="98"/>
      <c r="E24" s="15"/>
      <c r="F24" s="15"/>
      <c r="G24" s="15"/>
      <c r="H24" s="63"/>
      <c r="I24" s="15"/>
      <c r="J24" s="16">
        <f t="shared" si="0"/>
        <v>0</v>
      </c>
    </row>
    <row r="25" spans="1:10" ht="16.95" customHeight="1">
      <c r="A25" s="56">
        <v>22</v>
      </c>
      <c r="B25" s="79"/>
      <c r="C25" s="98"/>
      <c r="D25" s="98"/>
      <c r="E25" s="15"/>
      <c r="F25" s="15"/>
      <c r="G25" s="15"/>
      <c r="H25" s="63"/>
      <c r="I25" s="15"/>
      <c r="J25" s="16">
        <f t="shared" si="0"/>
        <v>0</v>
      </c>
    </row>
    <row r="26" spans="1:10" ht="16.95" customHeight="1">
      <c r="A26" s="56">
        <v>23</v>
      </c>
      <c r="B26" s="79"/>
      <c r="C26" s="17"/>
      <c r="D26" s="17"/>
      <c r="E26" s="15"/>
      <c r="F26" s="15"/>
      <c r="G26" s="15"/>
      <c r="H26" s="63"/>
      <c r="I26" s="15"/>
      <c r="J26" s="16">
        <f t="shared" si="0"/>
        <v>0</v>
      </c>
    </row>
    <row r="27" spans="1:10" ht="16.95" customHeight="1">
      <c r="A27" s="56">
        <v>24</v>
      </c>
      <c r="B27" s="79"/>
      <c r="C27" s="17"/>
      <c r="D27" s="17"/>
      <c r="E27" s="15"/>
      <c r="F27" s="15"/>
      <c r="G27" s="15"/>
      <c r="H27" s="63"/>
      <c r="I27" s="15"/>
      <c r="J27" s="16">
        <f t="shared" si="0"/>
        <v>0</v>
      </c>
    </row>
    <row r="28" spans="1:10" ht="16.95" customHeight="1">
      <c r="A28" s="56">
        <v>25</v>
      </c>
      <c r="B28" s="79"/>
      <c r="C28" s="17"/>
      <c r="D28" s="17"/>
      <c r="E28" s="15"/>
      <c r="F28" s="15"/>
      <c r="G28" s="15"/>
      <c r="H28" s="63"/>
      <c r="I28" s="15"/>
      <c r="J28" s="16">
        <f t="shared" si="0"/>
        <v>0</v>
      </c>
    </row>
    <row r="29" spans="1:10" ht="16.95" customHeight="1">
      <c r="A29" s="56">
        <v>26</v>
      </c>
      <c r="B29" s="79"/>
      <c r="C29" s="17"/>
      <c r="D29" s="17"/>
      <c r="E29" s="15"/>
      <c r="F29" s="15"/>
      <c r="G29" s="15"/>
      <c r="H29" s="63"/>
      <c r="I29" s="15"/>
      <c r="J29" s="16">
        <f t="shared" si="0"/>
        <v>0</v>
      </c>
    </row>
    <row r="30" spans="1:10" ht="16.95" customHeight="1">
      <c r="A30" s="56">
        <v>27</v>
      </c>
      <c r="B30" s="79"/>
      <c r="C30" s="17"/>
      <c r="D30" s="17"/>
      <c r="E30" s="15"/>
      <c r="F30" s="15"/>
      <c r="G30" s="15"/>
      <c r="H30" s="63"/>
      <c r="I30" s="15"/>
      <c r="J30" s="16">
        <f t="shared" si="0"/>
        <v>0</v>
      </c>
    </row>
    <row r="31" spans="1:10" ht="16.95" customHeight="1">
      <c r="A31" s="56">
        <v>28</v>
      </c>
      <c r="B31" s="79"/>
      <c r="C31" s="17"/>
      <c r="D31" s="17"/>
      <c r="E31" s="15"/>
      <c r="F31" s="15"/>
      <c r="G31" s="15"/>
      <c r="H31" s="63"/>
      <c r="I31" s="15"/>
      <c r="J31" s="16">
        <f t="shared" si="0"/>
        <v>0</v>
      </c>
    </row>
    <row r="32" spans="1:10" ht="16.95" customHeight="1">
      <c r="A32" s="56">
        <v>29</v>
      </c>
      <c r="B32" s="79"/>
      <c r="C32" s="17"/>
      <c r="D32" s="17"/>
      <c r="E32" s="15"/>
      <c r="F32" s="15"/>
      <c r="G32" s="15"/>
      <c r="H32" s="63"/>
      <c r="I32" s="15"/>
      <c r="J32" s="16">
        <f t="shared" si="0"/>
        <v>0</v>
      </c>
    </row>
    <row r="33" spans="1:10" ht="16.95" customHeight="1">
      <c r="A33" s="56">
        <v>30</v>
      </c>
      <c r="B33" s="79"/>
      <c r="C33" s="17"/>
      <c r="D33" s="17"/>
      <c r="E33" s="15"/>
      <c r="F33" s="15"/>
      <c r="G33" s="15"/>
      <c r="H33" s="63"/>
      <c r="I33" s="15"/>
      <c r="J33" s="16">
        <f t="shared" si="0"/>
        <v>0</v>
      </c>
    </row>
    <row r="34" spans="1:10" ht="13.95" customHeight="1">
      <c r="A34" s="56">
        <v>31</v>
      </c>
      <c r="B34" s="79"/>
      <c r="C34" s="17"/>
      <c r="D34" s="17"/>
      <c r="E34" s="15"/>
      <c r="F34" s="15"/>
      <c r="G34" s="15"/>
      <c r="H34" s="63"/>
      <c r="I34" s="15"/>
      <c r="J34" s="16">
        <f>SUM(E34:I34)</f>
        <v>0</v>
      </c>
    </row>
    <row r="35" spans="1:10" ht="13.95" customHeight="1">
      <c r="A35" s="56">
        <v>32</v>
      </c>
      <c r="B35" s="79"/>
      <c r="C35" s="17"/>
      <c r="D35" s="17"/>
      <c r="E35" s="15"/>
      <c r="F35" s="15"/>
      <c r="G35" s="15"/>
      <c r="H35" s="63"/>
      <c r="I35" s="15"/>
      <c r="J35" s="16">
        <f>SUM(E35:I35)</f>
        <v>0</v>
      </c>
    </row>
    <row r="36" spans="1:10" ht="13.95" customHeight="1">
      <c r="A36" s="56">
        <v>33</v>
      </c>
      <c r="B36" s="79"/>
      <c r="C36" s="17"/>
      <c r="D36" s="17"/>
      <c r="E36" s="15"/>
      <c r="F36" s="15"/>
      <c r="G36" s="15"/>
      <c r="H36" s="63"/>
      <c r="I36" s="15"/>
      <c r="J36" s="16">
        <f t="shared" ref="J36:J58" si="1">SUM(E36:I36)</f>
        <v>0</v>
      </c>
    </row>
    <row r="37" spans="1:10" ht="13.95" customHeight="1">
      <c r="A37" s="56">
        <v>34</v>
      </c>
      <c r="B37" s="79"/>
      <c r="C37" s="17"/>
      <c r="D37" s="17"/>
      <c r="E37" s="15"/>
      <c r="F37" s="15"/>
      <c r="G37" s="15"/>
      <c r="H37" s="63"/>
      <c r="I37" s="15"/>
      <c r="J37" s="16">
        <f t="shared" si="1"/>
        <v>0</v>
      </c>
    </row>
    <row r="38" spans="1:10" ht="13.95" customHeight="1">
      <c r="A38" s="56">
        <v>35</v>
      </c>
      <c r="B38" s="79"/>
      <c r="C38" s="17"/>
      <c r="D38" s="17"/>
      <c r="E38" s="15"/>
      <c r="F38" s="15"/>
      <c r="G38" s="15"/>
      <c r="H38" s="63"/>
      <c r="I38" s="15"/>
      <c r="J38" s="16">
        <f t="shared" si="1"/>
        <v>0</v>
      </c>
    </row>
    <row r="39" spans="1:10" ht="13.95" customHeight="1">
      <c r="A39" s="56">
        <v>36</v>
      </c>
      <c r="B39" s="79"/>
      <c r="C39" s="17"/>
      <c r="D39" s="17"/>
      <c r="E39" s="15"/>
      <c r="F39" s="15"/>
      <c r="G39" s="15"/>
      <c r="H39" s="63"/>
      <c r="I39" s="15"/>
      <c r="J39" s="16">
        <f t="shared" si="1"/>
        <v>0</v>
      </c>
    </row>
    <row r="40" spans="1:10" ht="13.95" customHeight="1">
      <c r="A40" s="56">
        <v>37</v>
      </c>
      <c r="B40" s="79"/>
      <c r="C40" s="17"/>
      <c r="D40" s="17"/>
      <c r="E40" s="15"/>
      <c r="F40" s="15"/>
      <c r="G40" s="15"/>
      <c r="H40" s="63"/>
      <c r="I40" s="15"/>
      <c r="J40" s="16">
        <f t="shared" si="1"/>
        <v>0</v>
      </c>
    </row>
    <row r="41" spans="1:10" ht="13.95" customHeight="1">
      <c r="A41" s="56">
        <v>38</v>
      </c>
      <c r="B41" s="79"/>
      <c r="C41" s="17"/>
      <c r="D41" s="17"/>
      <c r="E41" s="15"/>
      <c r="F41" s="15"/>
      <c r="G41" s="15"/>
      <c r="H41" s="63"/>
      <c r="I41" s="15"/>
      <c r="J41" s="16">
        <f t="shared" si="1"/>
        <v>0</v>
      </c>
    </row>
    <row r="42" spans="1:10" ht="13.95" customHeight="1">
      <c r="A42" s="56">
        <v>39</v>
      </c>
      <c r="B42" s="79"/>
      <c r="C42" s="17"/>
      <c r="D42" s="17"/>
      <c r="E42" s="15"/>
      <c r="F42" s="15"/>
      <c r="G42" s="15"/>
      <c r="H42" s="63"/>
      <c r="I42" s="15"/>
      <c r="J42" s="16">
        <f t="shared" si="1"/>
        <v>0</v>
      </c>
    </row>
    <row r="43" spans="1:10" ht="13.95" customHeight="1">
      <c r="A43" s="56">
        <v>40</v>
      </c>
      <c r="B43" s="79"/>
      <c r="C43" s="17"/>
      <c r="D43" s="17"/>
      <c r="E43" s="15"/>
      <c r="F43" s="15"/>
      <c r="G43" s="15"/>
      <c r="H43" s="63"/>
      <c r="I43" s="15"/>
      <c r="J43" s="16">
        <f t="shared" si="1"/>
        <v>0</v>
      </c>
    </row>
    <row r="44" spans="1:10" ht="13.95" customHeight="1">
      <c r="A44" s="56">
        <v>41</v>
      </c>
      <c r="B44" s="79"/>
      <c r="C44" s="17"/>
      <c r="D44" s="17"/>
      <c r="E44" s="15"/>
      <c r="F44" s="15"/>
      <c r="G44" s="15"/>
      <c r="H44" s="63"/>
      <c r="I44" s="15"/>
      <c r="J44" s="16">
        <f t="shared" si="1"/>
        <v>0</v>
      </c>
    </row>
    <row r="45" spans="1:10" ht="13.95" customHeight="1">
      <c r="A45" s="56">
        <v>42</v>
      </c>
      <c r="B45" s="79"/>
      <c r="C45" s="17"/>
      <c r="D45" s="17"/>
      <c r="E45" s="15"/>
      <c r="F45" s="15"/>
      <c r="G45" s="15"/>
      <c r="H45" s="63"/>
      <c r="I45" s="15"/>
      <c r="J45" s="16">
        <f t="shared" si="1"/>
        <v>0</v>
      </c>
    </row>
    <row r="46" spans="1:10" ht="13.95" customHeight="1">
      <c r="A46" s="56">
        <v>43</v>
      </c>
      <c r="B46" s="79"/>
      <c r="C46" s="17"/>
      <c r="D46" s="17"/>
      <c r="E46" s="15"/>
      <c r="F46" s="15"/>
      <c r="G46" s="15"/>
      <c r="H46" s="63"/>
      <c r="I46" s="15"/>
      <c r="J46" s="16">
        <f t="shared" si="1"/>
        <v>0</v>
      </c>
    </row>
    <row r="47" spans="1:10" ht="13.95" customHeight="1">
      <c r="A47" s="56">
        <v>44</v>
      </c>
      <c r="B47" s="79"/>
      <c r="C47" s="17"/>
      <c r="D47" s="17"/>
      <c r="E47" s="15"/>
      <c r="F47" s="15"/>
      <c r="G47" s="15"/>
      <c r="H47" s="63"/>
      <c r="I47" s="15"/>
      <c r="J47" s="16">
        <f t="shared" si="1"/>
        <v>0</v>
      </c>
    </row>
    <row r="48" spans="1:10" ht="13.95" customHeight="1">
      <c r="A48" s="56">
        <v>45</v>
      </c>
      <c r="B48" s="79"/>
      <c r="C48" s="17"/>
      <c r="D48" s="17"/>
      <c r="E48" s="15"/>
      <c r="F48" s="15"/>
      <c r="G48" s="15"/>
      <c r="H48" s="63"/>
      <c r="I48" s="15"/>
      <c r="J48" s="16">
        <f t="shared" si="1"/>
        <v>0</v>
      </c>
    </row>
    <row r="49" spans="1:10" ht="13.95" customHeight="1">
      <c r="A49" s="56">
        <v>46</v>
      </c>
      <c r="B49" s="79"/>
      <c r="C49" s="17"/>
      <c r="D49" s="17"/>
      <c r="E49" s="15"/>
      <c r="F49" s="15"/>
      <c r="G49" s="15"/>
      <c r="H49" s="63"/>
      <c r="I49" s="15"/>
      <c r="J49" s="16">
        <f t="shared" si="1"/>
        <v>0</v>
      </c>
    </row>
    <row r="50" spans="1:10" ht="13.95" customHeight="1">
      <c r="A50" s="56">
        <v>47</v>
      </c>
      <c r="B50" s="79"/>
      <c r="C50" s="17"/>
      <c r="D50" s="17"/>
      <c r="E50" s="15"/>
      <c r="F50" s="15"/>
      <c r="G50" s="15"/>
      <c r="H50" s="63"/>
      <c r="I50" s="15"/>
      <c r="J50" s="16">
        <f t="shared" si="1"/>
        <v>0</v>
      </c>
    </row>
    <row r="51" spans="1:10" ht="13.95" customHeight="1">
      <c r="A51" s="56">
        <v>48</v>
      </c>
      <c r="B51" s="79"/>
      <c r="C51" s="17"/>
      <c r="D51" s="17"/>
      <c r="E51" s="15"/>
      <c r="F51" s="15"/>
      <c r="G51" s="15"/>
      <c r="H51" s="63"/>
      <c r="I51" s="15"/>
      <c r="J51" s="16">
        <f t="shared" si="1"/>
        <v>0</v>
      </c>
    </row>
    <row r="52" spans="1:10" ht="13.95" customHeight="1">
      <c r="A52" s="56">
        <v>49</v>
      </c>
      <c r="B52" s="79"/>
      <c r="C52" s="17"/>
      <c r="D52" s="17"/>
      <c r="E52" s="15"/>
      <c r="F52" s="15"/>
      <c r="G52" s="15"/>
      <c r="H52" s="63"/>
      <c r="I52" s="15"/>
      <c r="J52" s="16">
        <f t="shared" si="1"/>
        <v>0</v>
      </c>
    </row>
    <row r="53" spans="1:10" ht="13.95" customHeight="1">
      <c r="A53" s="56">
        <v>50</v>
      </c>
      <c r="B53" s="79"/>
      <c r="C53" s="17"/>
      <c r="D53" s="17"/>
      <c r="E53" s="15"/>
      <c r="F53" s="15"/>
      <c r="G53" s="15"/>
      <c r="H53" s="63"/>
      <c r="I53" s="15"/>
      <c r="J53" s="16">
        <f t="shared" si="1"/>
        <v>0</v>
      </c>
    </row>
    <row r="54" spans="1:10" ht="13.95" customHeight="1">
      <c r="A54" s="56">
        <v>51</v>
      </c>
      <c r="B54" s="79"/>
      <c r="C54" s="17"/>
      <c r="D54" s="17"/>
      <c r="E54" s="15"/>
      <c r="F54" s="15"/>
      <c r="G54" s="15"/>
      <c r="H54" s="63"/>
      <c r="I54" s="15"/>
      <c r="J54" s="16">
        <f t="shared" si="1"/>
        <v>0</v>
      </c>
    </row>
    <row r="55" spans="1:10" ht="13.95" customHeight="1">
      <c r="A55" s="56">
        <v>52</v>
      </c>
      <c r="B55" s="79"/>
      <c r="C55" s="17"/>
      <c r="D55" s="17"/>
      <c r="E55" s="15"/>
      <c r="F55" s="15"/>
      <c r="G55" s="15"/>
      <c r="H55" s="63"/>
      <c r="I55" s="15"/>
      <c r="J55" s="16">
        <f t="shared" si="1"/>
        <v>0</v>
      </c>
    </row>
    <row r="56" spans="1:10" ht="13.95" customHeight="1">
      <c r="A56" s="56">
        <v>53</v>
      </c>
      <c r="B56" s="79"/>
      <c r="C56" s="17"/>
      <c r="D56" s="17"/>
      <c r="E56" s="15"/>
      <c r="F56" s="15"/>
      <c r="G56" s="15"/>
      <c r="H56" s="63"/>
      <c r="I56" s="15"/>
      <c r="J56" s="16">
        <f t="shared" si="1"/>
        <v>0</v>
      </c>
    </row>
    <row r="57" spans="1:10" ht="13.95" customHeight="1">
      <c r="A57" s="56">
        <v>54</v>
      </c>
      <c r="B57" s="79"/>
      <c r="C57" s="17"/>
      <c r="D57" s="17"/>
      <c r="E57" s="15"/>
      <c r="F57" s="15"/>
      <c r="G57" s="15"/>
      <c r="H57" s="63"/>
      <c r="I57" s="15"/>
      <c r="J57" s="16">
        <f t="shared" si="1"/>
        <v>0</v>
      </c>
    </row>
    <row r="58" spans="1:10" ht="13.95" customHeight="1">
      <c r="A58" s="56">
        <v>55</v>
      </c>
      <c r="B58" s="79"/>
      <c r="C58" s="17"/>
      <c r="D58" s="17"/>
      <c r="E58" s="15"/>
      <c r="F58" s="15"/>
      <c r="G58" s="15"/>
      <c r="H58" s="63"/>
      <c r="I58" s="15"/>
      <c r="J58" s="16">
        <f t="shared" si="1"/>
        <v>0</v>
      </c>
    </row>
  </sheetData>
  <sheetProtection algorithmName="SHA-512" hashValue="o1q/RiOBjjLd86KklNVSrfGcR6ZSU4TH58UhD1cTuZJYs8ZVOEneIlI6t3f0Z2tnqbf+6rvnMZZlptSphfmOcQ==" saltValue="uJTQdRkfWeKruQvRmAbMfw==" spinCount="100000" sheet="1" formatColumns="0" selectLockedCells="1" sort="0" autoFilter="0"/>
  <sortState xmlns:xlrd2="http://schemas.microsoft.com/office/spreadsheetml/2017/richdata2" ref="B4:I23">
    <sortCondition ref="B4:B23"/>
  </sortState>
  <mergeCells count="2">
    <mergeCell ref="A1:J1"/>
    <mergeCell ref="A2:A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>
        <f>SUMIF('EC International'!C4:C58,"ACCR",'EC International'!J4:J58)</f>
        <v>170</v>
      </c>
    </row>
    <row r="4" spans="1:2" ht="13.95" customHeight="1">
      <c r="A4" s="13" t="s">
        <v>14</v>
      </c>
      <c r="B4" s="13">
        <f>SUMIF('EC International'!C4:C58,"ACU",'EC International'!J4:J58)</f>
        <v>710</v>
      </c>
    </row>
    <row r="5" spans="1:2" ht="13.95" customHeight="1">
      <c r="A5" s="13" t="s">
        <v>37</v>
      </c>
      <c r="B5" s="13">
        <f>SUMIF('EC International'!C4:C58,"AMA",'EC International'!J4:J58)</f>
        <v>0</v>
      </c>
    </row>
    <row r="6" spans="1:2" ht="13.95" customHeight="1">
      <c r="A6" s="13" t="s">
        <v>38</v>
      </c>
      <c r="B6" s="13">
        <f>SUMIF('EC International'!C4:C58,"AMOTOE",'EC International'!J4:J58)</f>
        <v>0</v>
      </c>
    </row>
    <row r="7" spans="1:2" ht="13.95" customHeight="1">
      <c r="A7" s="13" t="s">
        <v>60</v>
      </c>
      <c r="B7" s="13">
        <f>SUMIF('EC International'!C4:C58,"AMZS",'EC International'!J4:J58)</f>
        <v>0</v>
      </c>
    </row>
    <row r="8" spans="1:2" ht="13.95" customHeight="1">
      <c r="A8" s="13" t="s">
        <v>39</v>
      </c>
      <c r="B8" s="13">
        <f>SUMIF('EC International'!C4:C58,"BFMS",'EC International'!J4:J58)</f>
        <v>0</v>
      </c>
    </row>
    <row r="9" spans="1:2" ht="13.95" customHeight="1">
      <c r="A9" s="13" t="s">
        <v>40</v>
      </c>
      <c r="B9" s="14">
        <f>SUMIF('EC International'!C4:C58,"BIHAMK",'EC International'!J4:J58)</f>
        <v>0</v>
      </c>
    </row>
    <row r="10" spans="1:2" ht="13.95" customHeight="1">
      <c r="A10" s="13" t="s">
        <v>41</v>
      </c>
      <c r="B10" s="13">
        <f>SUMIF('EC International'!C4:C58,"BMF",'EC International'!J4:J58)</f>
        <v>0</v>
      </c>
    </row>
    <row r="11" spans="1:2" ht="13.95" customHeight="1">
      <c r="A11" s="13" t="s">
        <v>42</v>
      </c>
      <c r="B11" s="13">
        <f>SUMIF('EC International'!C4:C58,"CMA",'EC International'!J4:J58)</f>
        <v>0</v>
      </c>
    </row>
    <row r="12" spans="1:2" ht="13.5" customHeight="1">
      <c r="A12" s="13" t="s">
        <v>25</v>
      </c>
      <c r="B12" s="13">
        <f>SUMIF('EC International'!C4:C58,"CTMSA",'EC International'!J4:J58)</f>
        <v>0</v>
      </c>
    </row>
    <row r="13" spans="1:2" ht="13.5" customHeight="1">
      <c r="A13" s="13" t="s">
        <v>43</v>
      </c>
      <c r="B13" s="13">
        <f>SUMIF('EC International'!C4:C58,"CYMF",'EC International'!J4:J58)</f>
        <v>0</v>
      </c>
    </row>
    <row r="14" spans="1:2" ht="13.5" customHeight="1">
      <c r="A14" s="13" t="s">
        <v>11</v>
      </c>
      <c r="B14" s="13">
        <f>SUMIF('EC International'!C4:C58,"DMSB",'EC International'!J4:J58)</f>
        <v>0</v>
      </c>
    </row>
    <row r="15" spans="1:2" ht="13.5" customHeight="1">
      <c r="A15" s="13" t="s">
        <v>23</v>
      </c>
      <c r="B15" s="13">
        <f>SUMIF('EC International'!C4:C58,"DMU",'EC International'!J4:J58)</f>
        <v>50</v>
      </c>
    </row>
    <row r="16" spans="1:2" ht="13.5" customHeight="1">
      <c r="A16" s="13" t="s">
        <v>22</v>
      </c>
      <c r="B16" s="13">
        <f>SUMIF('EC International'!C4:C58,"EMF",'EC International'!J4:J58)</f>
        <v>145</v>
      </c>
    </row>
    <row r="17" spans="1:2" ht="13.5" customHeight="1">
      <c r="A17" s="13" t="s">
        <v>16</v>
      </c>
      <c r="B17" s="13">
        <f>SUMIF('EC International'!C4:C58,"FFM",'EC International'!J4:J58)</f>
        <v>0</v>
      </c>
    </row>
    <row r="18" spans="1:2" ht="13.5" customHeight="1">
      <c r="A18" s="13" t="s">
        <v>44</v>
      </c>
      <c r="B18" s="13">
        <f>SUMIF('EC International'!C4:C58,"FMA",'EC International'!J4:J58)</f>
        <v>0</v>
      </c>
    </row>
    <row r="19" spans="1:2" ht="13.5" customHeight="1">
      <c r="A19" s="13" t="s">
        <v>20</v>
      </c>
      <c r="B19" s="13">
        <f>SUMIF('EC International'!C4:C58,"FMB",'EC International'!J4:J58)</f>
        <v>45</v>
      </c>
    </row>
    <row r="20" spans="1:2" ht="13.5" customHeight="1">
      <c r="A20" s="13" t="s">
        <v>7</v>
      </c>
      <c r="B20" s="13">
        <f>SUMIF('EC International'!C4:C58,"FMI",'EC International'!J4:J58)</f>
        <v>0</v>
      </c>
    </row>
    <row r="21" spans="1:2" ht="13.5" customHeight="1">
      <c r="A21" s="13" t="s">
        <v>45</v>
      </c>
      <c r="B21" s="13">
        <f>SUMIF('EC International'!C4:C58,"FMP",'EC International'!J4:J58)</f>
        <v>0</v>
      </c>
    </row>
    <row r="22" spans="1:2" ht="13.5" customHeight="1">
      <c r="A22" s="13" t="s">
        <v>46</v>
      </c>
      <c r="B22" s="13">
        <f>SUMIF('EC International'!C4:C58,"FMRM",'EC International'!J4:J58)</f>
        <v>0</v>
      </c>
    </row>
    <row r="23" spans="1:2" ht="13.5" customHeight="1">
      <c r="A23" s="13" t="s">
        <v>47</v>
      </c>
      <c r="B23" s="13">
        <f>SUMIF('EC International'!C4:C58,"FMS",'EC International'!J4:J58)</f>
        <v>0</v>
      </c>
    </row>
    <row r="24" spans="1:2" ht="13.5" customHeight="1">
      <c r="A24" s="13" t="s">
        <v>48</v>
      </c>
      <c r="B24" s="13">
        <f>SUMIF('EC International'!C4:C58,"FMU",'EC International'!J4:J58)</f>
        <v>0</v>
      </c>
    </row>
    <row r="25" spans="1:2" ht="13.5" customHeight="1">
      <c r="A25" s="13" t="s">
        <v>49</v>
      </c>
      <c r="B25" s="13">
        <f>SUMIF('EC International'!C4:C58,"FRM",'EC International'!J4:J58)</f>
        <v>0</v>
      </c>
    </row>
    <row r="26" spans="1:2" ht="13.5" customHeight="1">
      <c r="A26" s="13" t="s">
        <v>17</v>
      </c>
      <c r="B26" s="13">
        <f>SUMIF('EC International'!C4:C58,"KNMV",'EC International'!J4:J58)</f>
        <v>200</v>
      </c>
    </row>
    <row r="27" spans="1:2" ht="13.5" customHeight="1">
      <c r="A27" s="13" t="s">
        <v>61</v>
      </c>
      <c r="B27" s="13">
        <f>SUMIF('EC International'!C4:C58,"LaMSF",'EC International'!J4:J58)</f>
        <v>0</v>
      </c>
    </row>
    <row r="28" spans="1:2" ht="13.5" customHeight="1">
      <c r="A28" s="13" t="s">
        <v>50</v>
      </c>
      <c r="B28" s="13">
        <f>SUMIF('EC International'!C4:C58,"LMSF",'EC International'!J4:J58)</f>
        <v>0</v>
      </c>
    </row>
    <row r="29" spans="1:2" ht="13.5" customHeight="1">
      <c r="A29" s="13" t="s">
        <v>24</v>
      </c>
      <c r="B29" s="13">
        <f>SUMIF('EC International'!C4:C58,"MA",'EC International'!J4:J58)</f>
        <v>0</v>
      </c>
    </row>
    <row r="30" spans="1:2" ht="13.5" customHeight="1">
      <c r="A30" s="13" t="s">
        <v>51</v>
      </c>
      <c r="B30" s="13">
        <f>SUMIF('EC International'!C4:C58,"MAMS",'EC International'!J4:J58)</f>
        <v>0</v>
      </c>
    </row>
    <row r="31" spans="1:2" ht="13.5" customHeight="1">
      <c r="A31" s="13" t="s">
        <v>52</v>
      </c>
      <c r="B31" s="13">
        <f>SUMIF('EC International'!C4:C58,"MCM",'EC International'!J4:J58)</f>
        <v>0</v>
      </c>
    </row>
    <row r="32" spans="1:2" ht="13.5" customHeight="1">
      <c r="A32" s="13" t="s">
        <v>53</v>
      </c>
      <c r="B32" s="13">
        <f>SUMIF('EC International'!C4:C58,"MCUI",'EC International'!J4:J58)</f>
        <v>0</v>
      </c>
    </row>
    <row r="33" spans="1:2" ht="13.5" customHeight="1">
      <c r="A33" s="13" t="s">
        <v>54</v>
      </c>
      <c r="B33" s="13">
        <f>SUMIF('EC International'!C4:C58,"MFJ",'EC International'!J4:J58)</f>
        <v>0</v>
      </c>
    </row>
    <row r="34" spans="1:2" ht="13.5" customHeight="1">
      <c r="A34" s="13" t="s">
        <v>55</v>
      </c>
      <c r="B34" s="13">
        <f>SUMIF('EC International'!C4:C58,"MFR",'EC International'!J4:J58)</f>
        <v>0</v>
      </c>
    </row>
    <row r="35" spans="1:2" ht="13.5" customHeight="1">
      <c r="A35" s="13" t="s">
        <v>56</v>
      </c>
      <c r="B35" s="13">
        <f>SUMIF('EC International'!C4:C58,"MSI",'EC International'!J4:J58)</f>
        <v>0</v>
      </c>
    </row>
    <row r="36" spans="1:2" ht="13.5" customHeight="1">
      <c r="A36" s="13" t="s">
        <v>57</v>
      </c>
      <c r="B36" s="13">
        <f>SUMIF('EC International'!C4:C58,"MUL",'EC International'!J4:J58)</f>
        <v>0</v>
      </c>
    </row>
    <row r="37" spans="1:2" ht="13.5" customHeight="1">
      <c r="A37" s="13" t="s">
        <v>10</v>
      </c>
      <c r="B37" s="13">
        <f>SUMIF('EC International'!C4:C58,"NMF",'EC International'!J4:J58)</f>
        <v>60</v>
      </c>
    </row>
    <row r="38" spans="1:2" ht="13.5" customHeight="1">
      <c r="A38" s="13" t="s">
        <v>62</v>
      </c>
      <c r="B38" s="13">
        <f>SUMIF('EC International'!C4:C58,"AMF",'EC International'!J4:J58)</f>
        <v>0</v>
      </c>
    </row>
    <row r="39" spans="1:2" ht="13.5" customHeight="1">
      <c r="A39" s="13" t="s">
        <v>12</v>
      </c>
      <c r="B39" s="13">
        <f>SUMIF('EC International'!C4:C58,"PZM",'EC International'!J4:J58)</f>
        <v>0</v>
      </c>
    </row>
    <row r="40" spans="1:2" ht="13.5" customHeight="1">
      <c r="A40" s="13" t="s">
        <v>8</v>
      </c>
      <c r="B40" s="13">
        <f>SUMIF('EC International'!C4:C58,"RFME",'EC International'!J4:J58)</f>
        <v>260</v>
      </c>
    </row>
    <row r="41" spans="1:2" ht="13.5" customHeight="1">
      <c r="A41" s="13" t="s">
        <v>19</v>
      </c>
      <c r="B41" s="13">
        <f>SUMIF('EC International'!C4:C58,"SMF",'EC International'!J4:J58)</f>
        <v>0</v>
      </c>
    </row>
    <row r="42" spans="1:2" ht="13.5" customHeight="1">
      <c r="A42" s="13" t="s">
        <v>15</v>
      </c>
      <c r="B42" s="13">
        <f>SUMIF('EC International'!C4:C58,"SML",'EC International'!J4:J58)</f>
        <v>0</v>
      </c>
    </row>
    <row r="43" spans="1:2" ht="13.5" customHeight="1">
      <c r="A43" s="13" t="s">
        <v>6</v>
      </c>
      <c r="B43" s="13">
        <f>SUMIF('EC International'!C4:C58,"SVEMO",'EC International'!J4:J58)</f>
        <v>0</v>
      </c>
    </row>
  </sheetData>
  <sheetProtection password="D673" sheet="1" objects="1" scenarios="1" selectLockedCell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1" width="9.61328125" style="13" customWidth="1"/>
    <col min="2" max="256" width="6.61328125" style="13" customWidth="1"/>
    <col min="257" max="16384" width="6.61328125" style="1"/>
  </cols>
  <sheetData>
    <row r="1" spans="1:2" ht="28.05" customHeight="1">
      <c r="A1" s="112" t="s">
        <v>58</v>
      </c>
      <c r="B1" s="113"/>
    </row>
    <row r="2" spans="1:2" ht="13.95" customHeight="1">
      <c r="A2" s="5" t="s">
        <v>27</v>
      </c>
      <c r="B2" s="5" t="s">
        <v>13</v>
      </c>
    </row>
    <row r="3" spans="1:2" ht="13.95" customHeight="1">
      <c r="A3" s="13" t="s">
        <v>9</v>
      </c>
      <c r="B3" s="13" t="e">
        <f>SUMIF(#REF!,"ACCR",#REF!)</f>
        <v>#REF!</v>
      </c>
    </row>
    <row r="4" spans="1:2" ht="13.95" customHeight="1">
      <c r="A4" s="13" t="s">
        <v>14</v>
      </c>
      <c r="B4" s="13" t="e">
        <f>SUMIF(#REF!,"ACU",#REF!)</f>
        <v>#REF!</v>
      </c>
    </row>
    <row r="5" spans="1:2" ht="13.95" customHeight="1">
      <c r="A5" s="13" t="s">
        <v>37</v>
      </c>
      <c r="B5" s="13" t="e">
        <f>SUMIF(#REF!,"AMA",#REF!)</f>
        <v>#REF!</v>
      </c>
    </row>
    <row r="6" spans="1:2" ht="13.95" customHeight="1">
      <c r="A6" s="13" t="s">
        <v>38</v>
      </c>
      <c r="B6" s="13" t="e">
        <f>SUMIF(#REF!,"AMOTOE",#REF!)</f>
        <v>#REF!</v>
      </c>
    </row>
    <row r="7" spans="1:2" ht="13.95" customHeight="1">
      <c r="A7" s="13" t="s">
        <v>60</v>
      </c>
      <c r="B7" s="13" t="e">
        <f>SUMIF(#REF!,"AMZS",#REF!)</f>
        <v>#REF!</v>
      </c>
    </row>
    <row r="8" spans="1:2" ht="13.95" customHeight="1">
      <c r="A8" s="13" t="s">
        <v>39</v>
      </c>
      <c r="B8" s="13" t="e">
        <f>SUMIF(#REF!,"BFMS",#REF!)</f>
        <v>#REF!</v>
      </c>
    </row>
    <row r="9" spans="1:2" ht="13.95" customHeight="1">
      <c r="A9" s="13" t="s">
        <v>40</v>
      </c>
      <c r="B9" s="14" t="e">
        <f>SUMIF(#REF!,"BIHAMK",#REF!)</f>
        <v>#REF!</v>
      </c>
    </row>
    <row r="10" spans="1:2" ht="13.95" customHeight="1">
      <c r="A10" s="13" t="s">
        <v>41</v>
      </c>
      <c r="B10" s="13" t="e">
        <f>SUMIF(#REF!,"BMF",#REF!)</f>
        <v>#REF!</v>
      </c>
    </row>
    <row r="11" spans="1:2" ht="13.95" customHeight="1">
      <c r="A11" s="13" t="s">
        <v>42</v>
      </c>
      <c r="B11" s="13" t="e">
        <f>SUMIF(#REF!,"CMA",#REF!)</f>
        <v>#REF!</v>
      </c>
    </row>
    <row r="12" spans="1:2" ht="13.5" customHeight="1">
      <c r="A12" s="13" t="s">
        <v>25</v>
      </c>
      <c r="B12" s="13" t="e">
        <f>SUMIF(#REF!,"CTMSA",#REF!)</f>
        <v>#REF!</v>
      </c>
    </row>
    <row r="13" spans="1:2" ht="13.5" customHeight="1">
      <c r="A13" s="13" t="s">
        <v>43</v>
      </c>
      <c r="B13" s="13" t="e">
        <f>SUMIF(#REF!,"CYMF",#REF!)</f>
        <v>#REF!</v>
      </c>
    </row>
    <row r="14" spans="1:2" ht="13.5" customHeight="1">
      <c r="A14" s="13" t="s">
        <v>11</v>
      </c>
      <c r="B14" s="13" t="e">
        <f>SUMIF(#REF!,"DMSB",#REF!)</f>
        <v>#REF!</v>
      </c>
    </row>
    <row r="15" spans="1:2" ht="13.5" customHeight="1">
      <c r="A15" s="13" t="s">
        <v>23</v>
      </c>
      <c r="B15" s="13" t="e">
        <f>SUMIF(#REF!,"DMU",#REF!)</f>
        <v>#REF!</v>
      </c>
    </row>
    <row r="16" spans="1:2" ht="13.5" customHeight="1">
      <c r="A16" s="13" t="s">
        <v>22</v>
      </c>
      <c r="B16" s="13" t="e">
        <f>SUMIF(#REF!,"EMF",#REF!)</f>
        <v>#REF!</v>
      </c>
    </row>
    <row r="17" spans="1:2" ht="13.5" customHeight="1">
      <c r="A17" s="13" t="s">
        <v>16</v>
      </c>
      <c r="B17" s="13" t="e">
        <f>SUMIF(#REF!,"FFM",#REF!)</f>
        <v>#REF!</v>
      </c>
    </row>
    <row r="18" spans="1:2" ht="13.5" customHeight="1">
      <c r="A18" s="13" t="s">
        <v>44</v>
      </c>
      <c r="B18" s="13" t="e">
        <f>SUMIF(#REF!,"FMA",#REF!)</f>
        <v>#REF!</v>
      </c>
    </row>
    <row r="19" spans="1:2" ht="13.5" customHeight="1">
      <c r="A19" s="13" t="s">
        <v>20</v>
      </c>
      <c r="B19" s="13" t="e">
        <f>SUMIF(#REF!,"FMB",#REF!)</f>
        <v>#REF!</v>
      </c>
    </row>
    <row r="20" spans="1:2" ht="13.5" customHeight="1">
      <c r="A20" s="13" t="s">
        <v>7</v>
      </c>
      <c r="B20" s="13" t="e">
        <f>SUMIF(#REF!,"FMI",#REF!)</f>
        <v>#REF!</v>
      </c>
    </row>
    <row r="21" spans="1:2" ht="13.5" customHeight="1">
      <c r="A21" s="13" t="s">
        <v>45</v>
      </c>
      <c r="B21" s="13" t="e">
        <f>SUMIF(#REF!,"FMP",#REF!)</f>
        <v>#REF!</v>
      </c>
    </row>
    <row r="22" spans="1:2" ht="13.5" customHeight="1">
      <c r="A22" s="13" t="s">
        <v>46</v>
      </c>
      <c r="B22" s="13" t="e">
        <f>SUMIF(#REF!,"FMRM",#REF!)</f>
        <v>#REF!</v>
      </c>
    </row>
    <row r="23" spans="1:2" ht="13.5" customHeight="1">
      <c r="A23" s="13" t="s">
        <v>47</v>
      </c>
      <c r="B23" s="13" t="e">
        <f>SUMIF(#REF!,"FMS",#REF!)</f>
        <v>#REF!</v>
      </c>
    </row>
    <row r="24" spans="1:2" ht="13.5" customHeight="1">
      <c r="A24" s="13" t="s">
        <v>48</v>
      </c>
      <c r="B24" s="13" t="e">
        <f>SUMIF(#REF!,"FMU",#REF!)</f>
        <v>#REF!</v>
      </c>
    </row>
    <row r="25" spans="1:2" ht="13.5" customHeight="1">
      <c r="A25" s="13" t="s">
        <v>49</v>
      </c>
      <c r="B25" s="13" t="e">
        <f>SUMIF(#REF!,"FRM",#REF!)</f>
        <v>#REF!</v>
      </c>
    </row>
    <row r="26" spans="1:2" ht="13.5" customHeight="1">
      <c r="A26" s="13" t="s">
        <v>17</v>
      </c>
      <c r="B26" s="13" t="e">
        <f>SUMIF(#REF!,"KNMV",#REF!)</f>
        <v>#REF!</v>
      </c>
    </row>
    <row r="27" spans="1:2" ht="13.5" customHeight="1">
      <c r="A27" s="13" t="s">
        <v>61</v>
      </c>
      <c r="B27" s="13" t="e">
        <f>SUMIF(#REF!,"LaMSF",#REF!)</f>
        <v>#REF!</v>
      </c>
    </row>
    <row r="28" spans="1:2" ht="13.5" customHeight="1">
      <c r="A28" s="13" t="s">
        <v>50</v>
      </c>
      <c r="B28" s="13" t="e">
        <f>SUMIF(#REF!,"LMSF",#REF!)</f>
        <v>#REF!</v>
      </c>
    </row>
    <row r="29" spans="1:2" ht="13.5" customHeight="1">
      <c r="A29" s="13" t="s">
        <v>24</v>
      </c>
      <c r="B29" s="13" t="e">
        <f>SUMIF(#REF!,"MA",#REF!)</f>
        <v>#REF!</v>
      </c>
    </row>
    <row r="30" spans="1:2" ht="13.5" customHeight="1">
      <c r="A30" s="13" t="s">
        <v>51</v>
      </c>
      <c r="B30" s="13" t="e">
        <f>SUMIF(#REF!,"MAMS",#REF!)</f>
        <v>#REF!</v>
      </c>
    </row>
    <row r="31" spans="1:2" ht="13.5" customHeight="1">
      <c r="A31" s="13" t="s">
        <v>52</v>
      </c>
      <c r="B31" s="13" t="e">
        <f>SUMIF(#REF!,"MCM",#REF!)</f>
        <v>#REF!</v>
      </c>
    </row>
    <row r="32" spans="1:2" ht="13.5" customHeight="1">
      <c r="A32" s="13" t="s">
        <v>53</v>
      </c>
      <c r="B32" s="13" t="e">
        <f>SUMIF(#REF!,"MCUI",#REF!)</f>
        <v>#REF!</v>
      </c>
    </row>
    <row r="33" spans="1:2" ht="13.5" customHeight="1">
      <c r="A33" s="13" t="s">
        <v>54</v>
      </c>
      <c r="B33" s="13" t="e">
        <f>SUMIF(#REF!,"MFJ",#REF!)</f>
        <v>#REF!</v>
      </c>
    </row>
    <row r="34" spans="1:2" ht="13.5" customHeight="1">
      <c r="A34" s="13" t="s">
        <v>55</v>
      </c>
      <c r="B34" s="13" t="e">
        <f>SUMIF(#REF!,"MFR",#REF!)</f>
        <v>#REF!</v>
      </c>
    </row>
    <row r="35" spans="1:2" ht="13.5" customHeight="1">
      <c r="A35" s="13" t="s">
        <v>56</v>
      </c>
      <c r="B35" s="13" t="e">
        <f>SUMIF(#REF!,"MSI",#REF!)</f>
        <v>#REF!</v>
      </c>
    </row>
    <row r="36" spans="1:2" ht="13.5" customHeight="1">
      <c r="A36" s="13" t="s">
        <v>57</v>
      </c>
      <c r="B36" s="13" t="e">
        <f>SUMIF(#REF!,"MUL",#REF!)</f>
        <v>#REF!</v>
      </c>
    </row>
    <row r="37" spans="1:2" ht="13.5" customHeight="1">
      <c r="A37" s="13" t="s">
        <v>10</v>
      </c>
      <c r="B37" s="13" t="e">
        <f>SUMIF(#REF!,"NMF",#REF!)</f>
        <v>#REF!</v>
      </c>
    </row>
    <row r="38" spans="1:2" ht="13.5" customHeight="1">
      <c r="A38" s="13" t="s">
        <v>62</v>
      </c>
      <c r="B38" s="13" t="e">
        <f>SUMIF(#REF!,"AMF",#REF!)</f>
        <v>#REF!</v>
      </c>
    </row>
    <row r="39" spans="1:2" ht="13.5" customHeight="1">
      <c r="A39" s="13" t="s">
        <v>12</v>
      </c>
      <c r="B39" s="13" t="e">
        <f>SUMIF(#REF!,"PZM",#REF!)</f>
        <v>#REF!</v>
      </c>
    </row>
    <row r="40" spans="1:2" ht="13.5" customHeight="1">
      <c r="A40" s="13" t="s">
        <v>8</v>
      </c>
      <c r="B40" s="13" t="e">
        <f>SUMIF(#REF!,"RFME",#REF!)</f>
        <v>#REF!</v>
      </c>
    </row>
    <row r="41" spans="1:2" ht="13.5" customHeight="1">
      <c r="A41" s="13" t="s">
        <v>19</v>
      </c>
      <c r="B41" s="13" t="e">
        <f>SUMIF(#REF!,"SMF",#REF!)</f>
        <v>#REF!</v>
      </c>
    </row>
    <row r="42" spans="1:2" ht="13.5" customHeight="1">
      <c r="A42" s="13" t="s">
        <v>15</v>
      </c>
      <c r="B42" s="13" t="e">
        <f>SUMIF(#REF!,"SML",#REF!)</f>
        <v>#REF!</v>
      </c>
    </row>
    <row r="43" spans="1:2" ht="13.5" customHeight="1">
      <c r="A43" s="13" t="s">
        <v>6</v>
      </c>
      <c r="B43" s="13" t="e">
        <f>SUMIF(#REF!,"SVEMO",#REF!)</f>
        <v>#REF!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EC - European Championship</vt:lpstr>
      <vt:lpstr>EC - Points per FMN</vt:lpstr>
      <vt:lpstr>JUNIOR CUP</vt:lpstr>
      <vt:lpstr>JUNIOR Points pr FMN</vt:lpstr>
      <vt:lpstr>Over 40 CUP</vt:lpstr>
      <vt:lpstr>Over 40 Points pr FMN</vt:lpstr>
      <vt:lpstr>EC International</vt:lpstr>
      <vt:lpstr>EC Inter I Points pr FMN</vt:lpstr>
      <vt:lpstr>EC Inter II Points pr FMN</vt:lpstr>
      <vt:lpstr>Women's Championship</vt:lpstr>
      <vt:lpstr>Women Points pr FMN</vt:lpstr>
      <vt:lpstr>Women International</vt:lpstr>
      <vt:lpstr>Women Inter Points pr FMN</vt:lpstr>
      <vt:lpstr>Youth Championship</vt:lpstr>
      <vt:lpstr>Youth Points pr FMN</vt:lpstr>
      <vt:lpstr>Youth International</vt:lpstr>
      <vt:lpstr>Youth Inter Points pr FMN</vt:lpstr>
      <vt:lpstr>FMNs - Participants pr FMN</vt:lpstr>
      <vt:lpstr>FMN ranking - factor 3,2,1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2018-04-02T10:34:02Z</cp:lastPrinted>
  <dcterms:created xsi:type="dcterms:W3CDTF">2014-01-28T21:50:31Z</dcterms:created>
  <dcterms:modified xsi:type="dcterms:W3CDTF">2022-08-07T15:22:57Z</dcterms:modified>
</cp:coreProperties>
</file>